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X:\Municipal Support\Sewer Rate Surveys\2024 Sewer Rate Update\"/>
    </mc:Choice>
  </mc:AlternateContent>
  <xr:revisionPtr revIDLastSave="0" documentId="13_ncr:1_{FD9ADA32-A109-41F7-A93B-3C6745247E2F}" xr6:coauthVersionLast="47" xr6:coauthVersionMax="47" xr10:uidLastSave="{00000000-0000-0000-0000-000000000000}"/>
  <bookViews>
    <workbookView xWindow="2300" yWindow="0" windowWidth="21770" windowHeight="14520" activeTab="2" xr2:uid="{00000000-000D-0000-FFFF-FFFF00000000}"/>
  </bookViews>
  <sheets>
    <sheet name="ALCOSAN Eastern Basin" sheetId="1" r:id="rId1"/>
    <sheet name="ALCOSAN Southern Basin" sheetId="3" r:id="rId2"/>
    <sheet name="ALCOSAN Northern Basin" sheetId="2" r:id="rId3"/>
  </sheets>
  <definedNames>
    <definedName name="_xlnm.Print_Area" localSheetId="0">'ALCOSAN Eastern Basin'!$A$1:$N$58</definedName>
    <definedName name="_xlnm.Print_Area" localSheetId="2">'ALCOSAN Northern Basin'!$A$1:$N$60</definedName>
    <definedName name="_xlnm.Print_Area" localSheetId="1">'ALCOSAN Southern Basin'!$A$1:$N$78</definedName>
    <definedName name="_xlnm.Print_Titles" localSheetId="0">'ALCOSAN Eastern Basin'!$6:$7</definedName>
    <definedName name="_xlnm.Print_Titles" localSheetId="2">'ALCOSAN Northern Basin'!$6:$7</definedName>
    <definedName name="_xlnm.Print_Titles" localSheetId="1">'ALCOSAN Southern Basin'!$6:$7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8" i="3" l="1"/>
  <c r="I8" i="3"/>
  <c r="I8" i="1"/>
  <c r="I30" i="1"/>
  <c r="E36" i="3"/>
  <c r="C32" i="3"/>
  <c r="E60" i="3"/>
  <c r="E32" i="3" l="1"/>
  <c r="I40" i="1" l="1"/>
  <c r="E50" i="2" l="1"/>
  <c r="E48" i="2"/>
  <c r="I46" i="2"/>
  <c r="E46" i="2"/>
  <c r="E44" i="2"/>
  <c r="I40" i="2" l="1"/>
  <c r="G38" i="2"/>
  <c r="E26" i="2" l="1"/>
  <c r="E36" i="2"/>
  <c r="D36" i="2"/>
  <c r="E22" i="2" l="1"/>
  <c r="C22" i="2"/>
  <c r="E78" i="3"/>
  <c r="I72" i="3"/>
  <c r="C72" i="3"/>
  <c r="E70" i="3"/>
  <c r="C70" i="3"/>
  <c r="E64" i="3"/>
  <c r="C64" i="3"/>
  <c r="E58" i="3"/>
  <c r="D58" i="3"/>
  <c r="E56" i="3"/>
  <c r="E54" i="3"/>
  <c r="I54" i="3" s="1"/>
  <c r="E52" i="3"/>
  <c r="D52" i="3"/>
  <c r="G50" i="3"/>
  <c r="E50" i="3"/>
  <c r="I48" i="3" l="1"/>
  <c r="G48" i="3"/>
  <c r="E48" i="3"/>
  <c r="E46" i="3" l="1"/>
  <c r="C46" i="3"/>
  <c r="G36" i="3"/>
  <c r="E22" i="3" l="1"/>
  <c r="C22" i="3"/>
  <c r="E18" i="3"/>
  <c r="G30" i="1" l="1"/>
  <c r="E30" i="1"/>
  <c r="E52" i="1"/>
  <c r="E50" i="1"/>
  <c r="D50" i="1"/>
  <c r="I46" i="1"/>
  <c r="G34" i="1"/>
  <c r="E34" i="1"/>
  <c r="E24" i="1"/>
  <c r="E32" i="1"/>
  <c r="D32" i="1"/>
  <c r="I38" i="1"/>
  <c r="I54" i="1"/>
  <c r="L8" i="1" l="1"/>
  <c r="I12" i="1" l="1"/>
  <c r="C38" i="2" l="1"/>
  <c r="E16" i="2"/>
  <c r="D16" i="2"/>
  <c r="I22" i="2" l="1"/>
  <c r="G16" i="1"/>
  <c r="E16" i="1"/>
  <c r="I36" i="3"/>
  <c r="I50" i="3"/>
  <c r="E58" i="2"/>
  <c r="I58" i="2" s="1"/>
  <c r="I56" i="2"/>
  <c r="E56" i="2"/>
  <c r="I54" i="2"/>
  <c r="I50" i="2"/>
  <c r="D26" i="2"/>
  <c r="E18" i="2"/>
  <c r="E42" i="1"/>
  <c r="D42" i="1"/>
  <c r="E18" i="1"/>
  <c r="D18" i="1"/>
  <c r="E38" i="3"/>
  <c r="E8" i="3"/>
  <c r="C8" i="3"/>
  <c r="L44" i="2"/>
  <c r="M44" i="2" s="1"/>
  <c r="D44" i="2"/>
  <c r="I44" i="2" s="1"/>
  <c r="N44" i="2" l="1"/>
  <c r="I14" i="1" l="1"/>
  <c r="L14" i="1"/>
  <c r="M14" i="1" s="1"/>
  <c r="N14" i="1" l="1"/>
  <c r="E34" i="2" l="1"/>
  <c r="I38" i="2" l="1"/>
  <c r="G40" i="2"/>
  <c r="E40" i="2"/>
  <c r="L46" i="2" l="1"/>
  <c r="M46" i="2" s="1"/>
  <c r="C74" i="3"/>
  <c r="E74" i="3"/>
  <c r="L10" i="2"/>
  <c r="L12" i="2"/>
  <c r="L14" i="2"/>
  <c r="L16" i="2"/>
  <c r="L18" i="2"/>
  <c r="L20" i="2"/>
  <c r="L22" i="2"/>
  <c r="L24" i="2"/>
  <c r="L26" i="2"/>
  <c r="L28" i="2"/>
  <c r="L30" i="2"/>
  <c r="L32" i="2"/>
  <c r="L34" i="2"/>
  <c r="L36" i="2"/>
  <c r="L38" i="2"/>
  <c r="L40" i="2"/>
  <c r="L42" i="2"/>
  <c r="L48" i="2"/>
  <c r="L50" i="2"/>
  <c r="L52" i="2"/>
  <c r="L54" i="2"/>
  <c r="L56" i="2"/>
  <c r="L58" i="2"/>
  <c r="L60" i="2"/>
  <c r="L8" i="2"/>
  <c r="C56" i="3"/>
  <c r="C38" i="3"/>
  <c r="E10" i="3"/>
  <c r="I52" i="1"/>
  <c r="E12" i="3"/>
  <c r="C12" i="3"/>
  <c r="N46" i="2" l="1"/>
  <c r="I16" i="1" l="1"/>
  <c r="I24" i="1"/>
  <c r="L58" i="1"/>
  <c r="M58" i="1" s="1"/>
  <c r="I58" i="1"/>
  <c r="L56" i="1"/>
  <c r="M56" i="1" s="1"/>
  <c r="I56" i="1"/>
  <c r="L54" i="1"/>
  <c r="M54" i="1" s="1"/>
  <c r="L52" i="1"/>
  <c r="M52" i="1" s="1"/>
  <c r="N52" i="1" s="1"/>
  <c r="L50" i="1"/>
  <c r="M50" i="1" s="1"/>
  <c r="I50" i="1"/>
  <c r="L48" i="1"/>
  <c r="M48" i="1" s="1"/>
  <c r="I48" i="1"/>
  <c r="L46" i="1"/>
  <c r="M46" i="1" s="1"/>
  <c r="E46" i="1"/>
  <c r="L44" i="1"/>
  <c r="M44" i="1" s="1"/>
  <c r="I44" i="1"/>
  <c r="L42" i="1"/>
  <c r="M42" i="1" s="1"/>
  <c r="L40" i="1"/>
  <c r="M40" i="1" s="1"/>
  <c r="L38" i="1"/>
  <c r="M38" i="1" s="1"/>
  <c r="L36" i="1"/>
  <c r="M36" i="1" s="1"/>
  <c r="I36" i="1"/>
  <c r="L34" i="1"/>
  <c r="M34" i="1" s="1"/>
  <c r="L32" i="1"/>
  <c r="M32" i="1" s="1"/>
  <c r="L30" i="1"/>
  <c r="M30" i="1" s="1"/>
  <c r="L28" i="1"/>
  <c r="M28" i="1" s="1"/>
  <c r="L26" i="1"/>
  <c r="M26" i="1" s="1"/>
  <c r="I26" i="1"/>
  <c r="L24" i="1"/>
  <c r="M24" i="1" s="1"/>
  <c r="L22" i="1"/>
  <c r="M22" i="1" s="1"/>
  <c r="I22" i="1"/>
  <c r="L20" i="1"/>
  <c r="M20" i="1" s="1"/>
  <c r="I20" i="1"/>
  <c r="L18" i="1"/>
  <c r="M18" i="1" s="1"/>
  <c r="L16" i="1"/>
  <c r="M16" i="1" s="1"/>
  <c r="L12" i="1"/>
  <c r="M12" i="1" s="1"/>
  <c r="L10" i="1"/>
  <c r="M10" i="1" s="1"/>
  <c r="I10" i="1"/>
  <c r="M8" i="1"/>
  <c r="E28" i="1" l="1"/>
  <c r="I28" i="1" s="1"/>
  <c r="N28" i="1" s="1"/>
  <c r="N46" i="1"/>
  <c r="N8" i="1"/>
  <c r="N20" i="1"/>
  <c r="I34" i="1"/>
  <c r="N34" i="1" s="1"/>
  <c r="N30" i="1"/>
  <c r="N12" i="1"/>
  <c r="N36" i="1"/>
  <c r="I42" i="1"/>
  <c r="N42" i="1" s="1"/>
  <c r="N56" i="1"/>
  <c r="N50" i="1"/>
  <c r="N26" i="1"/>
  <c r="N44" i="1"/>
  <c r="N54" i="1"/>
  <c r="N58" i="1"/>
  <c r="I18" i="1"/>
  <c r="N18" i="1" s="1"/>
  <c r="N24" i="1"/>
  <c r="N16" i="1"/>
  <c r="N40" i="1"/>
  <c r="N38" i="1"/>
  <c r="I32" i="1"/>
  <c r="N32" i="1" s="1"/>
  <c r="N48" i="1"/>
  <c r="N10" i="1"/>
  <c r="N22" i="1"/>
  <c r="M16" i="2"/>
  <c r="I16" i="2"/>
  <c r="I58" i="3"/>
  <c r="N16" i="2" l="1"/>
  <c r="I52" i="2"/>
  <c r="I56" i="3" l="1"/>
  <c r="L10" i="3" l="1"/>
  <c r="M10" i="3" s="1"/>
  <c r="L12" i="3"/>
  <c r="M12" i="3" s="1"/>
  <c r="L14" i="3"/>
  <c r="M14" i="3" s="1"/>
  <c r="L16" i="3"/>
  <c r="M16" i="3" s="1"/>
  <c r="L18" i="3"/>
  <c r="M18" i="3" s="1"/>
  <c r="L20" i="3"/>
  <c r="M20" i="3" s="1"/>
  <c r="L22" i="3"/>
  <c r="M22" i="3" s="1"/>
  <c r="L24" i="3"/>
  <c r="M24" i="3" s="1"/>
  <c r="L26" i="3"/>
  <c r="M26" i="3" s="1"/>
  <c r="L28" i="3"/>
  <c r="M28" i="3" s="1"/>
  <c r="L30" i="3"/>
  <c r="M30" i="3" s="1"/>
  <c r="L32" i="3"/>
  <c r="M32" i="3" s="1"/>
  <c r="L34" i="3"/>
  <c r="M34" i="3" s="1"/>
  <c r="L36" i="3"/>
  <c r="M36" i="3" s="1"/>
  <c r="L38" i="3"/>
  <c r="M38" i="3" s="1"/>
  <c r="L40" i="3"/>
  <c r="M40" i="3" s="1"/>
  <c r="L42" i="3"/>
  <c r="M42" i="3" s="1"/>
  <c r="L44" i="3"/>
  <c r="M44" i="3" s="1"/>
  <c r="L46" i="3"/>
  <c r="M46" i="3" s="1"/>
  <c r="L48" i="3"/>
  <c r="M48" i="3" s="1"/>
  <c r="N48" i="3" s="1"/>
  <c r="L50" i="3"/>
  <c r="M50" i="3" s="1"/>
  <c r="L52" i="3"/>
  <c r="M52" i="3" s="1"/>
  <c r="L54" i="3"/>
  <c r="M54" i="3" s="1"/>
  <c r="L56" i="3"/>
  <c r="M56" i="3" s="1"/>
  <c r="L58" i="3"/>
  <c r="M58" i="3" s="1"/>
  <c r="L60" i="3"/>
  <c r="M60" i="3" s="1"/>
  <c r="L62" i="3"/>
  <c r="M62" i="3" s="1"/>
  <c r="L64" i="3"/>
  <c r="M64" i="3" s="1"/>
  <c r="L66" i="3"/>
  <c r="M66" i="3" s="1"/>
  <c r="L68" i="3"/>
  <c r="M68" i="3" s="1"/>
  <c r="L70" i="3"/>
  <c r="M70" i="3" s="1"/>
  <c r="L72" i="3"/>
  <c r="M72" i="3" s="1"/>
  <c r="L74" i="3"/>
  <c r="M74" i="3" s="1"/>
  <c r="L76" i="3"/>
  <c r="M76" i="3" s="1"/>
  <c r="L78" i="3"/>
  <c r="M78" i="3" s="1"/>
  <c r="L8" i="3"/>
  <c r="I46" i="3" l="1"/>
  <c r="I12" i="2"/>
  <c r="I32" i="3" l="1"/>
  <c r="I34" i="3" l="1"/>
  <c r="I60" i="3"/>
  <c r="I40" i="3"/>
  <c r="I34" i="2"/>
  <c r="I26" i="3"/>
  <c r="N26" i="3" s="1"/>
  <c r="I18" i="3"/>
  <c r="I10" i="3"/>
  <c r="I20" i="2" l="1"/>
  <c r="I60" i="2"/>
  <c r="I70" i="3"/>
  <c r="I66" i="3"/>
  <c r="I64" i="3"/>
  <c r="I62" i="3"/>
  <c r="I28" i="3"/>
  <c r="I44" i="3" l="1"/>
  <c r="I42" i="3"/>
  <c r="I24" i="3" l="1"/>
  <c r="I78" i="3" l="1"/>
  <c r="I74" i="3" l="1"/>
  <c r="I22" i="3"/>
  <c r="I20" i="3"/>
  <c r="I14" i="3"/>
  <c r="I16" i="3"/>
  <c r="I12" i="3"/>
  <c r="I52" i="3" l="1"/>
  <c r="I48" i="2"/>
  <c r="I36" i="2" l="1"/>
  <c r="I26" i="2"/>
  <c r="I30" i="2"/>
  <c r="I28" i="2"/>
  <c r="I32" i="2"/>
  <c r="I42" i="2"/>
  <c r="I24" i="2"/>
  <c r="N54" i="3" l="1"/>
  <c r="I10" i="2"/>
  <c r="I8" i="2"/>
  <c r="D18" i="2" l="1"/>
  <c r="I18" i="2" s="1"/>
  <c r="I76" i="3" l="1"/>
  <c r="M36" i="2" l="1"/>
  <c r="M38" i="2"/>
  <c r="M40" i="2"/>
  <c r="M42" i="2"/>
  <c r="M48" i="2"/>
  <c r="M50" i="2"/>
  <c r="M52" i="2"/>
  <c r="M54" i="2"/>
  <c r="N54" i="2" s="1"/>
  <c r="M56" i="2"/>
  <c r="M58" i="2"/>
  <c r="M60" i="2"/>
  <c r="N60" i="2" s="1"/>
  <c r="M10" i="2"/>
  <c r="M12" i="2"/>
  <c r="M14" i="2"/>
  <c r="M18" i="2"/>
  <c r="M20" i="2"/>
  <c r="M22" i="2"/>
  <c r="M24" i="2"/>
  <c r="M26" i="2"/>
  <c r="M32" i="2"/>
  <c r="M28" i="2"/>
  <c r="M30" i="2"/>
  <c r="M34" i="2"/>
  <c r="M8" i="2"/>
  <c r="M8" i="3"/>
  <c r="E30" i="3" l="1"/>
  <c r="I30" i="3" s="1"/>
  <c r="I14" i="2" l="1"/>
  <c r="I68" i="3"/>
  <c r="N56" i="3" l="1"/>
  <c r="N50" i="3" l="1"/>
  <c r="N58" i="2"/>
  <c r="N52" i="2"/>
  <c r="N50" i="2"/>
  <c r="N48" i="2"/>
  <c r="N38" i="2"/>
  <c r="N32" i="2"/>
  <c r="N24" i="2"/>
  <c r="N22" i="2"/>
  <c r="N20" i="2"/>
  <c r="N18" i="2"/>
  <c r="N12" i="2"/>
  <c r="N26" i="2" l="1"/>
  <c r="N12" i="3"/>
  <c r="N36" i="2"/>
  <c r="N28" i="2"/>
  <c r="N30" i="2"/>
  <c r="N34" i="2"/>
  <c r="N40" i="2"/>
  <c r="N42" i="2"/>
  <c r="N10" i="2"/>
  <c r="N14" i="2"/>
  <c r="N8" i="2"/>
  <c r="N24" i="3"/>
  <c r="N28" i="3"/>
  <c r="N30" i="3"/>
  <c r="N32" i="3"/>
  <c r="N34" i="3"/>
  <c r="N36" i="3"/>
  <c r="N38" i="3"/>
  <c r="N40" i="3"/>
  <c r="N42" i="3"/>
  <c r="N44" i="3"/>
  <c r="N46" i="3"/>
  <c r="N52" i="3"/>
  <c r="N58" i="3"/>
  <c r="N60" i="3"/>
  <c r="N62" i="3"/>
  <c r="N64" i="3"/>
  <c r="N66" i="3"/>
  <c r="N68" i="3"/>
  <c r="N70" i="3"/>
  <c r="N72" i="3"/>
  <c r="N74" i="3"/>
  <c r="N76" i="3"/>
  <c r="N78" i="3"/>
  <c r="N8" i="3"/>
  <c r="N10" i="3"/>
  <c r="N14" i="3"/>
  <c r="N16" i="3"/>
  <c r="N18" i="3"/>
  <c r="N20" i="3"/>
  <c r="N22" i="3"/>
  <c r="N56" i="2"/>
</calcChain>
</file>

<file path=xl/sharedStrings.xml><?xml version="1.0" encoding="utf-8"?>
<sst xmlns="http://schemas.openxmlformats.org/spreadsheetml/2006/main" count="386" uniqueCount="217">
  <si>
    <t>Eastern Basin</t>
  </si>
  <si>
    <t xml:space="preserve">    Service Charge</t>
  </si>
  <si>
    <t>ALCOSAN Charge</t>
  </si>
  <si>
    <t>Monthly</t>
  </si>
  <si>
    <t>Quarterly</t>
  </si>
  <si>
    <t>Rate</t>
  </si>
  <si>
    <t>Gallons</t>
  </si>
  <si>
    <t>from</t>
  </si>
  <si>
    <t>Service Fee</t>
  </si>
  <si>
    <t xml:space="preserve"> </t>
  </si>
  <si>
    <t>Pittsburgh</t>
  </si>
  <si>
    <t>NOTES:</t>
  </si>
  <si>
    <t>Northern Basin</t>
  </si>
  <si>
    <t>Southern Basin</t>
  </si>
  <si>
    <t>Upper St. Clair</t>
  </si>
  <si>
    <t>Kennedy</t>
  </si>
  <si>
    <t>Wall</t>
  </si>
  <si>
    <t xml:space="preserve">Etna </t>
  </si>
  <si>
    <t>Base</t>
  </si>
  <si>
    <t>Braddock</t>
  </si>
  <si>
    <t>East Pittsburgh</t>
  </si>
  <si>
    <t>Rankin</t>
  </si>
  <si>
    <t xml:space="preserve">Blawnox </t>
  </si>
  <si>
    <t xml:space="preserve">Quarterly ALCOSAN </t>
  </si>
  <si>
    <t>ALCOSAN Base Rate</t>
  </si>
  <si>
    <t>Per 1,000 gallons</t>
  </si>
  <si>
    <t>Municipality/ 
Authority</t>
  </si>
  <si>
    <t>Total Charge</t>
  </si>
  <si>
    <t>(Municipal + ALCOSAN)</t>
  </si>
  <si>
    <r>
      <rPr>
        <b/>
        <sz val="11"/>
        <rFont val="Calibri"/>
        <family val="2"/>
        <scheme val="minor"/>
      </rPr>
      <t>NOTE:</t>
    </r>
    <r>
      <rPr>
        <sz val="11"/>
        <rFont val="Calibri"/>
        <family val="2"/>
        <scheme val="minor"/>
      </rPr>
      <t xml:space="preserve"> All rates are given in $/1,000 gallons</t>
    </r>
  </si>
  <si>
    <r>
      <rPr>
        <b/>
        <sz val="11"/>
        <rFont val="Calibri"/>
        <family val="2"/>
        <scheme val="minor"/>
      </rPr>
      <t>NOTE</t>
    </r>
    <r>
      <rPr>
        <sz val="11"/>
        <rFont val="Calibri"/>
        <family val="2"/>
        <scheme val="minor"/>
      </rPr>
      <t>: All rates are given in $/1,000 gallons</t>
    </r>
  </si>
  <si>
    <t xml:space="preserve">Total Quarterly Charge (Municipal + ALCOSAN)
</t>
  </si>
  <si>
    <t>Notes</t>
  </si>
  <si>
    <t>Total Municipal Charges below are based on 12,000 GALLONS/QUARTER before ALCOSAN fees.</t>
  </si>
  <si>
    <t>Based on 12,000 gallons</t>
  </si>
  <si>
    <t>McDonald</t>
  </si>
  <si>
    <t>Service Charge</t>
  </si>
  <si>
    <t xml:space="preserve">Total Municipal Charges below are based on 12,000 GALLONS/QUARTER before ALCOSAN fees. </t>
  </si>
  <si>
    <t>*Please note:  The municipal billing cycle is listed for informational purposes only.  The calculations provided in this chart are based on a QUARTERLY bill so that rates can be compared across communities.</t>
  </si>
  <si>
    <t xml:space="preserve">**Tiered rates are $/1,000 gallons starting at the gallon level listed. Ex: If the tier says $1.18 at 3,001, that means the rate is $1.18 for every 1,000 gallons over 3,000. </t>
  </si>
  <si>
    <t>Tier 1**</t>
  </si>
  <si>
    <t>Municipal Billing Cycle*</t>
  </si>
  <si>
    <t xml:space="preserve">***Plum Borough rates are based on cubic feet. These values were converted to gallons for this comparison. </t>
  </si>
  <si>
    <t>N/A</t>
  </si>
  <si>
    <t>Bimonthly</t>
  </si>
  <si>
    <t>Collier</t>
  </si>
  <si>
    <t>Penn Hills</t>
  </si>
  <si>
    <t>Wilmerding</t>
  </si>
  <si>
    <t>Penn Township</t>
  </si>
  <si>
    <t>Crafton</t>
  </si>
  <si>
    <t>Bellevue</t>
  </si>
  <si>
    <t>West Homestead</t>
  </si>
  <si>
    <t>Reserve</t>
  </si>
  <si>
    <t>McCandless</t>
  </si>
  <si>
    <t>Franklin Park</t>
  </si>
  <si>
    <t>Shaler</t>
  </si>
  <si>
    <t>Robinson</t>
  </si>
  <si>
    <t>North Huntingdon</t>
  </si>
  <si>
    <t>O'Hara</t>
  </si>
  <si>
    <t>F:FA:G</t>
  </si>
  <si>
    <t>Sharpsburg</t>
  </si>
  <si>
    <t>Carnegie</t>
  </si>
  <si>
    <t>Rosslyn Farms</t>
  </si>
  <si>
    <t>Ben Avon Heights</t>
  </si>
  <si>
    <t>North Versailles</t>
  </si>
  <si>
    <t>Verona</t>
  </si>
  <si>
    <t>Pleasant Hills</t>
  </si>
  <si>
    <t>ALCOSAN 
Charge</t>
  </si>
  <si>
    <t>Total ALCOSAN Charge/Qtr.</t>
  </si>
  <si>
    <t>Total municipal Charge/Qtr.</t>
  </si>
  <si>
    <t>Based on 
12,000 gallons</t>
  </si>
  <si>
    <t>Service 
Fee</t>
  </si>
  <si>
    <t>Municipal 
Billing Cycle*</t>
  </si>
  <si>
    <t>Shaler - 
Girty's Run Area</t>
  </si>
  <si>
    <t>Reserve - 
Girtys Run Cust.</t>
  </si>
  <si>
    <t>Millvale - 
Girty's Run</t>
  </si>
  <si>
    <t>2024 Residential Rate Comparison</t>
  </si>
  <si>
    <t>April 2024: WPJWA lists 2024 rates as $3.00/1,000 which has remained the same since 2019.  Only alcosan rate increased. 
Dec. 2023: WPJWA lists 2023 rates as $3.00/1,000 which has remained the same since 2019.  Only alcosan rate increased. Dec. 2023: WPJWA lists 2023 rates as $3.00/1,000 which has remained the same since 2019.  Only alcosan rate increased. 
3/25/22: WPJWA lists rates as $3.00/1,000 which has remained the same since 2019.  Only alcosan rate increased. 
3/1/21: WPJWA still does the billing.  Checked their rate sheet online and it says the same rate as 2020.  Only ALCOSAN's rate increased. 
3/24/20: WPJWA still does the billing.  Checked their rate sheet online and it says the same rate as 2019.  Only ALCOSAN's rate increased. 
3/7/19: Phone call with Cheryl Sorrentino Borough Secretary.  ALCOSAN rates are listed separately on the bill.  The overall total bill only increased by ALCOSAN's increase. (Billing done by WPJWA)</t>
  </si>
  <si>
    <t>April 2024: WPJWA lists 2024 rates as $4.50/1,000 which has remained the same since 2019.  Only alcosan rate increased. 
Dec. 2023: WPJWA lists 2023 rates as $4.50/1,000 which has remained the same since 2019.  Only alcosan rate increased. 
3/25/22: WPJWA lists rates as $4.50/1,000 which has remained the same since 2019.  Only alcosan rate increased. 
3/1/21: WPJWA still does the billing.  Checked their rate sheet online and it says the same rate as 2020.  Only ALCOSAN's rate increased. 
3/24/20: WPJWA still does the billing.  Checked their rate sheet online and it says the same rate as 2019.  Only ALCOSAN's rate increased. 
2019: Per survey from Stephanie Schwoegel (Feb. 2019), the municipal sewer rates of $4.50/1,000 gal did not increase.  The overall total bill only increased by ALCOSAN's increase of $7.85.  (Billing done by WPJWA)</t>
  </si>
  <si>
    <t>April 2024: WPJWA lists 2024 rates as $8.50/1,000 which has remained the same since 2021.  Only alcosan rate increased. 
Dec. 2023: WPJWA lists rates as $8.50/1,000 which remains the same as 2021.  Only alcosan rate increased. 
3/25/22: WPJWA lists rates as $8.50/1,000 which remains the same as 2021.  Only alcosan rate increased. 
3/1/21: WPJWA still does the billing.  Checked their rate sheet online and it indicates a rate of $8.50 per 1,000 gallons, which is an increase from the $6.00/1,000 recorded last year.  ALCOSAN's rate also increased on top of the municipal rate.
3/24/20: WPJWA still does the billing.  Checked their rate sheet online and it says the same rate as 2019.  Only ALCOSAN's rate increased. 
2019: Survey completed by Mary Kay Fiore (March 2019). Churchill only charges a usage rate of $6.00/1,000 gallons plus ALCOSAN fees.  No increase for 2019.  Bill monthly.</t>
  </si>
  <si>
    <t xml:space="preserve">April. 2024: WPJWA still does the billing.  Rate remains 50% of alcosan bill.
Dec. 2023: WPJWA still does the billing.  Rate remains 50% of alcosan bill.
3/25/22: WPJWA still does the billing.  Rate remains 50% of alcosan bill.
3/25/21: WPJWA still does the billing.  Checked their rate sheet online and it says the same calculation as 2021 - 50% of ALCOSAN's bill.  ALCOSAN's rate increased by 7% so East Pittsburgh's municipal portion increased as well from $4.55/1,000 to $4.87/1.000
3/11/21: WPJWA still does the billing.  Checked their rate sheet online and it says the same rate as 2020 - 50% of ALCOSAN's bill.  ALCOSAN's rate increased so East Pittsburgh's municipal portion increased as well. Also emailed Seth Abrams epabrams@eastpittsburghboro.com and he confirmed their rate remains the same for 2021.
3/24/20: WPJWA still does the billing.  Checked their rate sheet online and it says the same rate as 2019 - 50% of ALCOSAN's bill.  ALCOSAN's rate increased so East Pittsburgh's municipal portion increased as well. 
2019: Billed by WPJWA.  Called WPJWA to confirm the rates. (April 2019) East Pittsburgh local rates are 50% of ALCOSAN charges. </t>
  </si>
  <si>
    <t>April 2024: WPJWA lists rates as $5.70/1,000 which is the same as 2021.  Muniicpal rates stayed the same. Only alcosan rate increased. 
Dec. 2023: WPJWA lists rates as $5.70/1,000 which is the same as 2021.  Muniicpal rates stayed the same. Only alcosan rate increased. 
3/25/22: WPJWA lists rates as $5.70/1,000 which is the same as 2021.  Muniicpal rates stayed the same. Only alcosan rate increased. 
3/11/21: WPJWA still does the billing.  Checked their rate sheet online and it says the rate increased to $5.70/1,000 plus alcosan's increase. Confirmed the accuracy by visiting Edgewood's website.
3/24/20: WPJWA still does the billing.  Checked their rate sheet online and it says the same rate as 2019 - $4.70/1,000. Only ALCOSAN's rate increased.
Survey from Rob Zahorchak; Same rate as 2018 $4.70/1,000.  Does not include ALCOSAN rates.  The overall total bill only increased by ALCOSAN's increase of $7.85</t>
  </si>
  <si>
    <t>April 2024: WPJWA lists rates as $5.75/1,000 which has stayed the same since 2021.  Muniicpal rates stayed the same. Only alcosan rate increased. 
Dec. 2023: WPJWA lists rates as $5.75/1,000 which has stayed the same since 2021.  Muniicpal rates stayed the same. Only alcosan rate increased. 
3/25/22: WPJWA lists rates as $5.70/1,000 which is the same as 2021.  Muniicpal rates stayed the same. Only alcosan rate increased. 
3/11/2021: WPJWA still does the billing.  Checked their rate sheet online and it says the same rate as 2020 - Only ALCOSAN's rate increased. 
 3/24/20: WPJWA still does the billing.  Checked their rate sheet online and it says the same rate as 2019 - Only ALCOSAN's rate increased.
2019: WPJWA does the billing;  Called WPJWA to confirm the rates. (April 2019) $5.75/1,000 gallons.  No municipal rate increase.</t>
  </si>
  <si>
    <t xml:space="preserve">April 2014:  WPJWA still does the billing.  Checked their rate sheet online and it says the same .83 monthly surcharge the thousand gallon fee stayed $5.00/1,000.  Only ALCOSAN rates increased.
Dec. 2023: WPJWA still does the billing.  Checked their rate sheet online and it says the same .83 monthly surcharge but the thousand gallon fee increased to $5.00/1,000.
 3/25/22: WPJWA still does the billing.  Checked their rate sheet online and it says the same rate as 2021. 4.50/1,000 and .83 monthly surcharge.  Only ALCOSAN's rate increased. 
3/11/21: WPJWA still does the billing.  Checked their rate sheet online and it says the same rate as 2020.  Only ALCOSAN's rate increased. 
3/24/20: WPJWA still does the billing.  Checked their rate sheet online and it says the same rate as 2019.  Only ALCOSAN's rate increased. 
2019: WPJWA does the billing;  Called WPJWA to confirm the rates. (April 2019) $4.50/1,000 gallons and .83334/mo service charge. </t>
  </si>
  <si>
    <t>April 2024: Checked the PWSA website and they indicate increased 2024 rates were approved by the PUC.  Sewage rates are now $8.25 for the first 1,000 gallons monthly and then $6.68 for every 1,000 gallons over that.  (We take the minimum rate and multiple by 3 and then the overage rate multipled by 9 to simulate a quarterly bill for 12,000 gallons usage.)
12/13/23: Checked the PWSA website and rates went down again in 2023. $7.32 for the first 1,000 gallons monthly and $5.81 for anything over 1,000.
3/31/22: Checked PWSA website https://www.pgh2o.com/residential-commercial-customers/rates  Rates are effective from Jan. 12, 2022.  $8.09/1,000 minimum for monthly bill.  $6.99/1,000 after that.  This represents a decrease  from 2021. 
3/11/21: Checked PWSA website https://www.pgh2o.com/residential-commercial-customers/rates  Rates are effective from Jan. 14, 2021.  $8.51/1,000 minimum for monthly bill.  $7.64/1,000 after that.  This represents a slight increase from 2020. 
3/31/2020: We checked the PWSA website and the current rates were listed as effective March 1, 2019 so we included them for 2020 until we can check with PWSA to see if there is an increase planned for 2020. 4/20: sent an email to Julie Quigley to check. She confirmed that their website has the most current rates. Bill monthly. Minimum charge is $8.28/1,000 gallons.  Rate is $7.43/1,000 thereafter.
2019: Survey completed by Julie Quigley.  Base rate is $8.28 for the first 1,000 gallons and $7.43/1,000 thereafter.  According to PWSA, rates increased 7.2% from 2018).) ALCOSAN rates are separate from PWSA rates. The first rate of $8.28 for the first thousand was multiplied by three for the quarterly bill as PWSA bills monthly.</t>
  </si>
  <si>
    <t xml:space="preserve">April 2014:  WPJWA still does the billing.  Checked their rate sheet online and it says the same rate structure as 2021- 30% of ALCOSAN's rate. ALCOSAN's rate increased so Rankin's municipal portion increased as well
Dec. 2023: WPJWA still does the billing.  Checked their rate sheet online and it says the same rate structure as 2021- 30% of ALCOSAN's rate. ALCOSAN's rate increased so Rankin's municipal portion increased as well from $41.16 to $44.04.
3/25/22: WPJWA still does the billing.  Checked their rate sheet online and it says the same rate structure as 2021- 30% of ALCOSAN's rate. ALCOSAN's rate increased so Rankin's municipal portion increased as well from $38.49 to $ 41.16.
3/11/21: WPJWA still does the billing.  Checked their rate sheet online and it says the same rate structure as 2020- 30% of ALCOSAN's rate. ALCOSAN's rate increased so Rankin's municipal portion increased as well. 
3/24/20: WPJWA still does the billing.  Checked their rate sheet online and it says the same rate as 2019- 30% of ALCOSAN's rate. ALCOSAN's rate increased so Rankin's municipal portion increased as well. 
2019: Shane Lanham completed the survey.  They bill monthly through WPJWA. He indicated no increase in sewage rates but they charge 30% of the total ALCOSAN sewage charge so while the percentage did not increase, the total sewer bill did due to ALCOSAN's increase. </t>
  </si>
  <si>
    <t>April 2024: WPJWA still does the billing.  Checked their rate sheet online and it says the same rate as 2022 $3.50/1,000 gallons.  Only ALCOSAN's rate increased. 
Dec. 2023: WPJWA still does the billing.  Checked their rate sheet online and it says the same rate as 2022 $3.50/1,000 gallons.  Only ALCOSAN's rate increased. 
3/25/22:  WPJWA still does the billing.  Checked their rate sheet online and it says the same rate as 2021 $3.50/1,000 gallons.  Only ALCOSAN's rate increased. 
3/11/21: 3/24/20: WPJWA still does the billing.  Checked their rate sheet online and it says the same rate as 2020.  Only ALCOSAN's rate increased. 
3/24/20: WPJWA still does the billing.  Checked their rate sheet online and it says the same rate as 2019.  Only ALCOSAN's rate increased. 
2019: Survey completed by Diane Turley (March 2019).  They only charge $3.50/1,000 gallons plus ALCOSAN fees.  The municipal portion of the bill did not increase; only the ALCOSAN portion.</t>
  </si>
  <si>
    <t>April 2024: WPJWA still does the billing.  Checked their rate sheet online and it says the rate increased to- 2.85/1,000 gallons.
Dec. 2023: WPJWA still does the billing.  Checked their rate sheet online and it says the same rate as 2022 - 2.50/1,000 gallons.  Only ALCOSAN's rate increased. 
3/25/22: WPJWA still does the billing.  Checked their rate sheet online and it says the same rate as 2021 - 2.50/1,000 gallons.  Only ALCOSAN's rate increased. 
3/11/21: WPJWA still does the billing.  Checked their rate sheet online and it says the same rate as 2020.  Only ALCOSAN's rate increased. 
3/24/20: WPJWA still does the billing.  Checked their rate sheet online and it says the same rate as 2019.  Only ALCOSAN's rate increased. 
Survey completed by Julie Pantalone (March 2019) but she only included the ALCOSAN fees. WPJWA does the billing;  Called WPJWA to confirm the rates.  They remain $2.50/1,000 gallons; the same as 2018.</t>
  </si>
  <si>
    <t>Turtle Creek</t>
  </si>
  <si>
    <t>April 2024: WPJWA still does the billing.  Checked their rate sheet online and it says $5 for up to 1 ,000 gallons and $2.50/1,000 for anything over 2,000.  They do their billing monthly so we take the minimum and mulitply by 3 and then the overage rate for the remainder of the usage (9,000 gallons) to simulate a quarterly bill. 
Dec. 2023: WPJWA still does the billing.  Checked their rate sheet online and it says $5 for up to 1 ,000 gallons and $2.50/1,000 for anything over 2,000
3/25/22: WPJWA still does the billing.  Checked their rate sheet online and it says $5 for up to 1 ,000 gallons and $2.50/1,000 for anything over 2,000.  (Little confusing, but we stuck with $5.00 for the base rate and $2.50 for every 1,000 after that)  Only ALCOSAN's rate increased. 
3/11/21: WPJWA still does the billing.  Checked their rate sheet online and it says the same rate as 2020.  Only ALCOSAN's rate increased. 
3/24/20: WPJWA still does the billing.  Checked their rate sheet online and it says the same rate as 2019.  Only ALCOSAN's rate increased. 
2019: Survey completed by  Rebecca Vargo, but it only included ALCOSAN charges.  Called WPJWA who does their billing and confirmed that the rate is the same as 2018. $5 for the first 1,000 gallons and $2.50/1,000 after that plus ALCOSAN</t>
  </si>
  <si>
    <t>April 2024: WPJWA still does the billing.  Checked their rate sheet online and it says the same rate as 2023.  $1.75/1,000 gallons. Only ALCOSAN's rate increased. 
Dec. 2023: WPJWA still does the billing.  Checked their rate sheet online and it says the same rate as 2022.  $1.75/1,000 gallons. Only ALCOSAN's rate increased. 
3/25/22: WPJWA still does the billing.  Checked their rate sheet online and it says the same rate as 2021.  $1.75/1,000 gallons. Only ALCOSAN's rate increased. 
3/11/21: WPJWA still does the billing.  Checked their rate sheet online and it says the same rate as 2020.  Only ALCOSAN's rate increased. 
3/24/20: WPJWA still does the billing.  Checked their rate sheet online and it says the same rate as 2019.  Only ALCOSAN's rate increased. 
WPJWA does the billing;  Called WPJWA to confirm the rates. (April 2019) $1.75/1,000 gallons.  The municipal rate increased a quarter from 1.50/1,000 in 2018.</t>
  </si>
  <si>
    <t>April 2024: WPJWA still does the billing.  Checked their rate sheet online and it says $3.50/1,000 which is the same rate as 2023. plus ALCOSAN's rate increased. 
Dec. 2023: WPJWA still does the billing.  Checked their rate sheet online and it says $3.50/1,000 which is the same rate as 2022. plus ALCOSAN's rate increased. 
3/25/22: WPJWA still does the billing.  Checked their rate sheet online and it says $3.50/1,000 which is a .50 increase over 2021. plus ALCOSAN's rate increased. 
3/11/21: WPJWA still does the billing.  Checked their rate sheet online and it says the same rate as 2020.  Only ALCOSAN's rate increased. 
3/24/20: WPJWA still does the billing.  Checked their rate sheet online and it says the same rate as 2019.  Only ALCOSAN's rate increased. 
WPJWA does the billing;  Called WPJWA to confirm the rates. (April 2019) $3.00/1,000 gallons.  The municipal rate stayed the same as 2018.</t>
  </si>
  <si>
    <t xml:space="preserve">April 2024: WPJWA has the rates listed.  The fee of $6.67 monthly remains the same, but the per 1,000 gallons increased to $24.63/1000 gallons.  Structure includes alcosan fees.
12/14/23:WPJWA has the rates listed.  The fee of $6.67 monthly remained the same but the per 1,000 gallons increased from $21.51 to $23.02/1,000 gallons .  Structure includes alcosan fees
3/25/22: WPJWA listed rates so they must do the billing now instead of Oakmont.  Shows $21.51/1,000 gallons and $6.67/monthly flat rate.  This structure includes alcosan rates.  Per thousand increased slightly, but monthly rate decreased. Overall, the municipal portion went down from $145.68 to $140.92 so they absorbed the alcosan increase.
3/11/21: On the Oakmont website, it publishes monthly rates effective as of Jan 1, 2021.  http://www.oakmontwater.com/rates.html.  Rates are listed as $8.33/month service charge and $20.75/1,000. Both fee structures include ALCOSAN rates. The municipal increase really only incorporates enough to cover the ALCOSAN increase so the The municipal portion charged went from $145.61 to $145.68. 
3/2020: On the Oakmont website, it says they do billing for Penn Hills.. http://www.oakmontwater.com/rates.html.  Rates are listed as $8.33/month service charge and $20.04/1,000.  Following 2019 formula, these include the Alcosan rates.
2019: WPJWA does the billing.  Pulled info from WPJWA rate sheet online. Monthly service fee went from $10 in 2019 to $6.66 in 2020.  Per thousand rate increased from $19.37/1,000 to $20.04/1,000.  Both include ALCOSAN's fees. Flat fee was multiplied by 3 for a quarterly bill and we subtracted both Alcosan fees from the municipal portion of the bill. </t>
  </si>
  <si>
    <t xml:space="preserve">April 2024: In an email dated 12/20/23, Connie indicated the 2023 rates would remain the same in 2024. quarterly base rate for 8,000 gallons in 2023 was $94.69 and $11.83/1,000 after that.  Includes alcosan fees. 
12/14/23: Emailed Connie for an update. She replied that quarterly base rate for 8,000 gallons in 2023 was $94.69 and $11.83/1,000 after that.  Includes alcosan fees. 
 3/31/22: I emailed Connie administrator@eastmckeesportboro.com.  She replied that their rates. remain the same: $10.95 per thousand gallons with a minimum charge of $87.60 per 8,000 gallons or less. We subtracted ALCOSAN's rates to determine the muncipal portion. With Alcosan's increase in 2021, that means that East McKeesport takes a loss and have absorbed alcosan's increase for their customers. 
March 1, 2021: I emailed Connie administrator@eastmckeesportboro.com and she replied that their 2021 rates remain the same: $10.95 per thousand gallons with a minimum charge of $87.60 per 8,000 gallons or less. We subtracted ALCOSAN's rates to determine the muncipal portion. With Alcosan's increase in 2021, that means that East McKeesport takes a loss and have absorbed alcosan's increase for their customers.
April 2020: I emailed Connie and she responded: The 2020 sewage rates for East McKeesport are as follows: $10.95 per thousand gallons with a minimum charge of $87.60 per 8,000 gallons or less. We subtracted ALCOSAN's rates to determine the muncipal portion.
Per survey from Connie Rosenbayger (March 2019).  ALCOSAN rates are included just as they were last year. East McKeesport only increased their rates by 2.5% (to $79.60/8,000 min usage) so they absorb some of the increase from ALCOSAN. (The 2019 overall sewage bill decreased by $1 because of it.) 4/10/19: Phone call with Connie clarified that we calculated this properly. </t>
  </si>
  <si>
    <t>April 2024: Found this announcement regarding 2024 online. https://www.monroevillewater.org/news/note-increase-2024  Monroeville notes that only the alcosan rates increased.  They include alcosan in their rate, which went from $15.27 to $15.96 so monoreville's municipal piece remained about the same at $4.82/1,000 gallons
12/14/23: Found a 2023 rate increase announcement online https://www.monroevillewater.org/news/notice-rate-increase-2023.  Rate increased by 7% again to match alcosan's increase so $14.59/1,000 increased to $15.27
3/31/22: Found an announcement on website about 2022 increase https://www.monroevillewater.org/news/sewage-rate-increase-2022
3/11/21: Rate increased from $13.64 to 14.59 which represents the 7% increase of alcosan. Rate structure includes alcosan fee/thousand. alcosan service fee billed separately. 
New rates were published on Monroeville Authority website effective Jan. 1, 2021. https://www.monroevillewater.org/sewer-rates. $13.64/1,000 gallons which includes ALCOSAN's usage fee of $9.10. There is also a slight increase in alcosan's service fee (from $17.86 to $19.11) which is passed on to residents. Overall, the municipal porition of the bill went up from $51 to $54.48. 
3/31/2020: 2020 rate data was obtained from the Monroeville Authority website: https://www.monroevillewater.org/csa/2020-water-and-sewer-rates. Rates remain at $12.75/1,000 gal which incl. ALCOSAN's usage fee of $8.50 so they are absorbing ALCOSAN's increase.  The only increase for residents will be the slight increase ($1.17) in the ALCOSAN quarterly service fee.
2019 rate data was obtained from a news page on the Monroeville Authority website.  https://www.monroevillewater.org/csa/2019-water-and-sewer-rates  Rates remain at $12.75/1,000 gal which incl. ALCOSAN's usage fee of $7.94.</t>
  </si>
  <si>
    <r>
      <t xml:space="preserve">April 2024: As of the 12/14/23 email from Mike, rates remain the same for 2024. 
12/14/23: Emailed Mike for an update. He replied that their rates remained the same in 2023 and will continue to be the same in 2024.   Their total rate per quarter regardless of usage is $161.40 so once we remove alcosan fees from that total, it leaves $4.31 left for North Huntingdon. 
8/2022:  Checked back in with Mike and he said their rate went up by  or $4.50 quarter so their new rate is $161.40.  We removed alcosan's charges to determine the municipal fee.  Only a small portion of North Huntingdon is served by alcosan.  the rest by Western Westmoreland Municipal Authority. 
8/2022:  Check back in with Mike and he said their rate went up by  or $4.50 quarter so their new rate is $161.40.  We removed alcosan's charges to determine the municipal fee.  Only a small portion of North Huntingdon is served by alcosan.  the rest by Western Westmoreland Municipal Authority. 
3/31/22:  Emailed Mike Branthoover for an update. mbranthoover@nhtma.org. Mike responded that rates have remained the same, but may change after April 20, 2022 (the end of their fiscal year) due to increases from Western Westmoreland Municipal Authority and Alcosan.  
3/11/21:  Emailed Mike Branthoover for an update. mbranthoover@nhtma.org.  MIke confirmed that the rate remains the same $156.90 (and HAS remained the same for the last 8 years).  We removed alcosan's total fees ($128.31) to determine the municpal portion of the fee. 
3/31/2020: Emailed Mike Branthoover. Rates remained the same for 2020.  $156.90 regardless of usage.  We removed alcosan's total fees ($119.86) to determine the municipal portion of the bill.  
Survey completed by Mike Branthoover. No overall increase from 2018 rates.  The total charge is $156.90 flat rate </t>
    </r>
    <r>
      <rPr>
        <b/>
        <sz val="9"/>
        <rFont val="Calibri"/>
        <family val="2"/>
        <scheme val="minor"/>
      </rPr>
      <t>regardless of usage</t>
    </r>
    <r>
      <rPr>
        <sz val="9"/>
        <rFont val="Calibri"/>
        <family val="2"/>
        <scheme val="minor"/>
      </rPr>
      <t xml:space="preserve"> so the community is absorbing ALCOSAN's increase.   We just Removed ALCOSAN's charges from the total to determine the flat municipal rate.</t>
    </r>
  </si>
  <si>
    <t xml:space="preserve">4/26/24: Found 2024 rates online at  https://www.ptsewage.org/rates---fees.html     they increased   to $99.45  0-3000 gallons and $9.67 per additional 1000 gallons. Also had to take out alcosan's flat fee since their rates are incorporated into the structure. 
12/14/23: Penn Township Sewage Authority website published rates effective Jan. 1, 2023. https://www.ptsewage.org/rates---fees.html  they increased   to $98.73 0-3000 gallons and $9.60 per additional 1000 gallons. Also had to take out alcosan's flat fee since their rates are incorporated into the structure. 
3/31/22: Penn Township Sewage Authority website published rates effective Jan. 1, 2022. https://www.ptsewage.org/rates---fees.html  they increased from  to $94.92 0-3000 gallons and $9.23 per additional 1000 gallons. Also had to take out alcosan's flat fee since their rates are incorporated into the structure. Rates increased a little overall, although Penn Twp absorbed some of the increase.
3/11/21: Penn Township Sewage Authority website published rates effective Jan. 1, 2021. https://www.ptsewage.org/rates---fees.html They remain the same as 2020 and include ALCOSAN fees so Penn Township is absorbing the increased ALCOSAN fees. $91.73 0-3000 gallons and $8.92 per additional 1000 gallons.
3/31/20: Emailed Stan Caroline and he asked Angela Zippi to reply that Penn Township's rates for 2020 increased slightly: $91.73 0-3000 gallons and $8.92 per additional 1000 gallons. Includes Alcosan's rates. The Township actually absorbed some of ALCOSAN's rate increase for their customers so the total customer bill only increase by about $4.50 for 12,000 gallon average bill.
Survey from Stan Caroline $90.01/3KG; $8.75/KG over 3KG. Quarterly. Phone call clarified that it Includes ALCOSAN fees. They said their rate increased by 1.74% </t>
  </si>
  <si>
    <t>Plum***</t>
  </si>
  <si>
    <t>4/26/24: Found the 2024 rates onlne. https://www.oakmontwater.com/rates-1  Increased to $28.39 quarterly fee and then $14.17/1,000 gallons for usage.  INcludes alcosan fees in the structure.
12/14/23: 2023 rates were obtained from http://www.oakmontwater.com/rates.html Rates increased to $26.53 quarterly service fee and $13.24/1,000.  Includes alcosan fees in structure
4/12/22: 2022 rates were obtained from http://www.oakmontwater.com/rates.html.  Rates remained the same so Verona is absorbing alcosan's increase.  Rates remained at $12.37/1,000 gallons and $24.79 service charge.  Includes alcosan fees.
3/11/2021: 2021 rates were obtained from the website below.  Rates increased to $12.37/1,000 gallons and $24.79 service charge As previously confirmed in 2019, these rates include alcosan fees. The increase only represents Alcosan's increase so the municipal portion remained the same.
3/2020: 2020 rates were obtained from the website below.  Rates increased to $11.77/1,000 gallons and $23.54 service charge.  As previously confirmed in 2019, these rates include alcosan fees.
2019 rate data was obtained from the website of the Oakmont Water Authority, who does Verona's sewage billing website. http://www.oakmontwater.com/rates.html 
Rates are $11/1,000 gal and quarterly service charge of $22.  A phone call (April 2019) with Jerry Kenna confirmed that ALCOSAN rates are included in those fees.</t>
  </si>
  <si>
    <t xml:space="preserve">4/26/24: In the December 2023 email, Valentina shared the 2024 rates.  $19.11 quarterly fee staysed the same.  Bae rate for 10,000 gallons increased to $1164.62.  I tried to get her to confirm that $1.75/1,000 is still the rate for anything over 10,000 gallons.  She never confirmed it, but we have kept it the same based on history. 
12/28/23:  Valentina emailed the rates.  For 2023, $19.11 quarterly fee stayed the same.  Base rate for 10,000 gallons increased to $154.88.  Usage over 10,000 is billed at $1.75/1,000. Includes alcosan fees. 
12/14/23: Emailed Valentina for an update. 12/27: Emailed Valentina again. 
4/12/22: Emailed Valentina. wallborough@yahoo.com. Valentina replied: "I spoke to Council last night at our meeting. They informed me that the Consent charge ($19.11) is a charge Wall Borough does so that we can take care of the main line. The 20.45 is the customer service charge for Alcosan. Which we should have been putting on the bills since Alcosan took over. This is the first year we started since we overlooked that charge." So Wall borough's fees have increased with the addition of the flat service fee.  Wall's min. charge for 10,000 gallons went from $139.92 to $166.68, which includes their flat fee of $19.11 + alcosan service fee (20.45) + 9.73 rate/1,000 for alcosan fees + 29.82/Wall borough usage fee.  After 10,000 gallons fee went from 1.50/1,000 last year to $1.75 this year.
4/16/21: Emailed Valentina again. 3/11/2021: Emailed Valentina to get an update on 2021 rates. wallborough@yahoo.com 4/21: Valentina responded that the rates did increase about 7% to $139.92 for the first 10,000 gallons and $1.75/1,000 thereafter. 
4/2/2020: Received an email response from Valentina regarding 2020 rates which are $132.67 per 10,000 gallons and $1.50/1,000 thereafter.
Confirmed by phone with Valentina Lachimia (April 2019),  that Wall increased its base minimum rate from $119.61  to $125.90 for the first 10,000 gallons of use to cover the cost of ALCOSAN's increase. This base rate includes all ALCOSAN charges.  For  usage above 10,000 gallons per quarter, the additional charge is $1.50/1,000.  Alcosan rates are not listed separately on the bill.
</t>
  </si>
  <si>
    <t xml:space="preserve">April 26, 2024: Emailed Ann Jacko to see if she had any update for 2024.  In Dec. email she said she thought rates might increase but she didn't know the number yet. Ann replied with these rates: NV rates are at a $4.50 quarterly service fee.  $121.80 base charge quarterly for minimum 6,000 gallons of usage. $20.30/1,000 gallons for anything over 6,000 gallons. Both of these rates include ALCOSAN fees.
 12/14/23: emailed Sami and Ann for an update. Ann Jacko replied (ann@nvtsa.com) that rates did increase (significantly) in 2023.  The service fee remained at $4.50/qtr.  Base rate for 6,000 gallons increased to $118.80 and then $19.80/1,000 after that. 
3/31/22: I emailed Sami Alvarez (sami@nvtsa.com) 
4/12/22: Emailed Sami again.  Ann Jacko (ann@nvtsa.com) responded that NV rates remain the same as 2021. Once again, NV is absorbing the increase from alcosan. $91.80 base charge quarterly for min. 6,000 gallons. $15.30/1,000 gallons for anything over 6,000 gallons. Both include alcosan fees.They also have a $4.50 flat service fee quarterly
3/11/21: I emailed Sami Alvarez (sami@nvtsa.com) She confirmed the rates remain the same for 2021. Since the rate structure includes Alcosan fees, NV is absorbing the increase from alcosan.
3/31/20:  Sent an email to Frank Pearsol of NV Sanitary Authority. frank@nvtsa.com. 5/18  Resent the email. 5/2020: Sami Alvarez (sami@nvtsa.com) responded by attaching the authority's ordinance with current 2020 rates: $91.80 base charge quarterly for min. 6,000 gallons. $15.30/1,000 gallons for anything over 6,000 gallons. Both include alcosan fees. 
2019: Survey completed by Frank Pearsol of NV Sanitary Authority, but there was some inconsistent information so a phone call (April 2019) confirmed the rates. They have a base minimum charge for 6,000 gallons, using $12.30/1,000 so the minimum quarterly bill is $73.80 for usage of 6,000 gallons or less.  Anything over the 6,000 is charged at $12.30/1,000.  All of these fees include ALCOSAN's rates.  They also have a $4.50 flat service fee quarterly.  These rates are the same as 2018. 
</t>
  </si>
  <si>
    <t xml:space="preserve">4/26/24: Still has 2023 rate information listed. Emailed Jaime Peticca Borough Manager for an update. boroughmanager@traffordborough.com  She replied that rates remain the same in 2024.
12/14/23: 2023 rates were available online. https://www.traffordborough.com/sewage-department/  Rates remained at $18/quarterly service fee and $6/1,000 for min 6,000 gallon usage. $6/1,000 over 6,000. 
4/12/22: 2022 rates posted on Trafford website remain the same. Only alcosan fees increased. https://www.traffordborough.com/sewage-department/
3/11/21:  2021 rates posted on Trafford website remain the same as 2020. ALCOSAN fees are separate and increased slightly. https://www.traffordborough.com/sewage-dept/
3/2020:  2020 rates posted on Trafford website remain the same as 2019. ALCOSAN fees are separate.
Obtained 2019 rate information from Trafford website http://www.traffordborough.com/sewage-dept  Rates remained the same as 2018. $18 quarterly service charge and $6.00/1,00 gallons with a minimum charge of $36 for 6,000 gallons. </t>
  </si>
  <si>
    <t>4/17/24: Called Borough mgr. Robert Firek 412-882-9600, ext 1707 to talk about whether sewer rate increases have caused a lot of customer complaints.  During that conversation, he said Baldwin  2024 rates are stayng the same., which means they are absorbing ALCOSAN's increase.  $15.75 monthly flat fee and $13.52/1,000 gallons usage.  We remove alcosan fees to get municipal rate.
12/23: Found Baldwin rates online in their 2023 budget document. https://www.baldwinborough.org/Archive/ViewFile/Item/78#:~:text=The%20new%20sewage%20rates%20will,%2413.52%20per%201%2C000%20gallons%20used. They increased rates to $15.75/month and $13.52 per 1,000 gallons.  These rates include alcosan's fees, so we removed them for the municipal piece. 
4/13/22: Emailed Bob Fireck, Manager rfirek@baldwinborough.org because 2020 rates are still listed on Baldwin's site. $12.52 per 1,000 gallons with a monthly sewage surcharge of $14.75. Bob Firek responded confirming that the rates have remained the same.
March 12, 21: Checked the Baldwin website, but the 2020 rates are still listed.  Emailed Bob Firek, manager. rfirek@baldwinborough.org. Bob confirmed that the rates remain the same for 2021 so they are absorbing alcosan's increase. 
 April 2020: Baldwin borough website (https://www.baldwinborough.org/259/Sewage ) sewage rates lists 2020 rates as $12.52 per 1,000 gallons with a monthly sewage surcharge of $14.75.  Using the same formula as 2019, we first removed alcosan fees before calculating the quarterly municipal fees.  These rates were also reported in a Tribune Review article https://triblive.com/local/south-hills/no-increase-in-real-estate-taxes-while-sewage-rates-soar-in-baldwin-borough/
Survey completed by Caitlin Hornyak. (March 2019): Email clarified that ALCOSAN rates were included in the $11.52/1,000 rate and 6.75 flat charge.  Overall rates did not increase so Baldwin absorbed ALCOSAN's increase.</t>
  </si>
  <si>
    <t>4/26/2024: Referred to Dec. 13 email from Charla (see below).  She said there is no increase in fees for 2024.  Only alcosan fees increased.  Remains $5.50/1,000 municipal fee.
12/13/23: emailed nina.belcastro@baldwintownship.com for an update. Charla Pfeil responded. (Nina no longer there.) Interim Township Manager 412-341-9597 charla.pfeil@baldwintownship.com. Rates stayed the same in 2023.
4/13/22: Emailed nina.belcastro@baldwintownship.com for an update. Nia responded.  Attached their 2022 ordinance.  Rates remain $5.50/$1,000 plus alcosan fees.
5/10/21: Emailed with a different address. nina.belcastro@baldwintownship.com She replied by attaching their ordinance for updated rates.  The municipal rate remains $5.50/1,000 gallons with no service fee.  Only alcosan rates increased. 4/21/21: Requested multiple times from Jordan Tax service with no response, so emailed Nina Belcastro info@baldwintownship.com. 
3/15/21: Requested from Jordan Tax Service. 
5/2020: Jordan Tax Service (Stephanie Conaway sconaway@jordantax.com) provided 2020 rates: No monthly municipal flat fee.  $14/1,000 includes alcosan usage rate. 
2019 rates were obtained from JORDAN TAX SERVICE (4/16/19).  Municipal rates are same as 2018.  $13.44/1,000, which includes ALCOSAN usage rate.  The municipal usage fee remains at $5.50/1,000.  Overall bill only increased by ALCOSAN's increase.</t>
  </si>
  <si>
    <t xml:space="preserve">4/26/24: Lisa confirmed in a Dec. 13 email that rates remain the same in 2024.  Since their rates include Alcosan rates, they are absorbing alcosan's increase.  $15 monthly flat fee and $9/1,000 gallons.
12/13/23: Emailed Llapaglia@bethelpark.net to confirm if the rates remained the same for 2023 (which seems to be the case based on their sewage fees estimate calculator I found online.)https://bethelpark.net/finance/utilities-and-services/  Lisa confirmed that the municipal rates remained the same in 2023 ($9/1,000) and will remain the same in 2024 as well. 
4/13/2022: Emailed Stacey Graf for an update. Sgraf@bethelpark.net . Lisa Lapaglia llapaglia@bethelpark.net  Finance Director emailed me back to confirm that their rates remain the same. $15/month and $9/1,000. I emailed her to confirm that alcosan rates are included in the structure because they are now taking a loss on the 1,000/gallon usage fee at this point.
3/15/2021: Emailed Stacey Graf for an update. Sgraf@bethelpark.net .  Stacey replied and their rates remain $15/month and $9/1,000 which includes alcosan fees. Thus, they are absorbing alcosan's increase. Lisa confirmed that they do not charge anything additional to their customers so the alcosan fee is absorbed.
4/2020: Emailed Stacey Graf for an update. SGraf@bethelpark.net.  Stacey replied that the rates have stayed the same for 2020. $15 monthly service charge and $9/1,000 includes all ALCOSAN charges.  Bethel Park is absorbing Alcosan's increase.
Survey completed by Stacey Graf.  $15 monthly service charge and $9/1,000 includes all ALCOSAN charges. Stacey provided details in the notes that confirms this.  Bethel Park absorbed ALCOSAN's increase so there is no overall increase in the total sewer rates from 2018. </t>
  </si>
  <si>
    <t>4/26/24: Emailed George Zboyovsky, Borough Manager in December.  He replied that rates will remain the same in 2024. $4.57 monthly fee and $8.91/1,000
 12/13/23: Found the rates online in their fee schedule, but they still show alcosan's rates from last year, so I emailed George for an update. George confirmed that municipal rates remained the same ($4.57 monthly fee and $8.91/1,000)in 2023 and will continue to be the same in 2024.
.  4/13/22: Found the rates online; https://www.brentwoodboro.com/send/110-permits-licenses/19260-fee-schedule.html.  It includes the current alcosan fees for 2022 so the municipal fees are assumed to be current as well. They remain at $8.91/1,000 and a $4.57 monthly service fee. 
3/15/21: Emailed Amy Medway (and copied George Z) on 2021 rates. Amy shared their rate structure which only increased to accommodate the increase in alcosan rates.  The municipal part of the fee stays the same ($4.57 and $8.91/1,000).  Overall, the rates are $10.94/monthly and $18.01/1,000 which includes the alcosan fees. 
4/2020: I emailed George Zboyovsky, Borough Manager, to check on the 2020 rates and the fee schedule on their website only included 2019. gzboyovsky@brentwoodboro.com   Amy Medway responded that the municipal rates have stayed the same as 2019. amedway@brentwoodboro.com They charge a total of $10.52 and $17.41/1,000 which includes alcosan rates.  When alcosan fees are removed, the muncipal portion is the same as 2019: $4.57 service fee monthly and $8.91/1,000 gallons.
2019: Survey completed by George Zboyovsky (March 2019).  April 10: talked with Karen in the sewage department to clarify some of the survey responses.  Brentwood only increased their bills by the amount of ALCOSAN's increase so the municipal rate stayed the same. Monthly service charge of $10.13 plus $16.85/1,000 gallons includes all ALCOSAN charges</t>
  </si>
  <si>
    <t xml:space="preserve">4/26/24: See note below from Dec. 2023.  Municipal Rate remains $6.73/1,000 gallons.  Same as 2023. 
12/13/23: Found info on 2024 budget, which indicates that the borough portion of the sewage rates will remain $6.73/1,000, which means they remained the same in 2023 as well.  Only alcosan rates were noted to increase and be "in addition to" their municipal rate.
 4/13/2022: Found updated rates online: https://bridgevilleboro.com/bridgeville-borough-council-adopts-2022-budget-with-no-increase-in-taxes/#:~:text=Monthly%20sewer%20fees%20overall%20are,service%20charge%2C%20effective%20January%201st. Overall, rates have increased from $15.83 to $16.47 to compensate for alcosan increase but the municipal portion remains at $6.73/1,000.  
3/15/2021: Checked Bridgeville website and they approved an ordinance on 12/14/20 with sewage rates. https://ecode360.com/BR2287/laws/LF1265067.pdf   Monthly billing: $6.73/1,000 for the municipal portion in addition to alcosan's increased rates. Unlike last year's ordinance, this year's broke out the municipal rate.  They indicated that $6.73/1,000 as a rate that remains unchanged, but according to their structure last year, the municipal rate was $6.23/1,000. 
04/2020:  Bridgeville website lists rates as the following: https://ecode360.com/14258731  Monthly billing:  $14.73/1,000 gallons usage fee plus ALCOSAN service charge of $5.95.  The $5.95 monthly service charge translates to $17.86, so these represent Bridgeville's 2020 rates.  ALCOSAN usage charge is rolled into the $14.73/1,000 gallons. When you remove the alcosan usage charge, the municipal rate is $6.23/1,000 so it remains unchanged from 2019. 
2019: As per survey from Lori Collins(Feb 2019).  Municipal rate of 6.23/1,000 gal did not increase. Overall rates only increased by ALCOSAN's new charges. </t>
  </si>
  <si>
    <t>4/26/24: According to the resolution Steve provided attached to Dec 27 email, 2024 rates increase to $17.64/1,000 gallons.  Includes alcosan rate, so municipal portion is $6.50/1,000. 
12/13/23: Emailed Steve Beuter.  12/27: Emailed Steve again.  He emailed me the carnegie resolutions for 2023 and 2024 (printed). The per thousand rate increased to $16.91 in 2023 . Includes alcosan rate.  Municipal rate becomes $6.50/1,000 after alcosan removed.
4/15/22: Emailed Steve Beuter.  He replied by sending their new ordinance. Their rates increased to $15.98 to accommodate for the alcosan increase.  That means the municipal rate remains at $6.25.  They do not charge a service fee other than alcosans.    
4/21/21: Emailed Jordan Tax Service several times with no response so emailed Steve Beuter sbeuter.carnegieboro@comcast.net  Steve replied by sending Carnegie's new ordinance showing $15.35/1,000 gallons as their rate (including alcosan's fees).  They do not charge flat service fee, just alcosan's fee of 6.37 monthly. 3/15/21: Requested from Jordan Tax Service. 
4/2020:  Could not find current info on Carnegie website so Jordan Tax Service will be our source. 5/2020: Jordan Tax Service (Stephanie Conaway sconaway@jordantax.com) provided 2020 rates: No monthly municipal service fee.  $14.80/1,000 gallons, which includes alcosan usage fee. Municipal fee actually went down a little. because they absorbed some of alcosan's increase.  
2019 rates were obtained from JORDAN TAX SERVICE (4/16/19).  Municipal rates are same as 2018.  $14.29/1,000, which includes ALCOSAN usage rate.  The municipal usage fee remains at $6.35/1,000.  Overall bill only increased by ALCOSAN's increase.</t>
  </si>
  <si>
    <t>4/26/24: Referring to Lori's email in Dec. 2023, the 2024 rate will remain the same. $8.06/1,000.  
12/13/23:I emailed Lori lmiller@csboro.org to see if the rate changed in 2023 . Lori replied that the rate stayed at $8.06/1,000 in 2023 and will remain the same in 2024.
6/24/22: Left a message for Loretta Miller 412-885-9200, ext 102. She sent an email indicating that the rates stayed the same at $8.06/1,000 (I changed it from $8.08/1,000 last year to $8.06 this year since that is the current figure she provided)
3/15/21: Called the borough.  Tom Hartswick is no longer there.  Left a voicemail for Loretta Miller, asst. mgr. 412-885-9200, ext 102.  She called back to report their rates increased to $8.08/1,000 + alcosan fees. 
6/3: Called Tom 412-885-9200, ext 103.  He confirmed that their rates increased to $7.55/1,000 gallons and alcosan rates are in addition to that. 
5/2020: Emailed Tom again.
04/2020: Couldn't find info on the borough websiste, so emailed Tom Hartswick for an update. t.hartswick@comcast.net
Survey completed by Tom Hartswick (March 2019).  He indicated their rates increased by 7% to match ALCOSAN's increase, but the 2018 sewer rates reported by Tom were $6.60/1,000 gal.  2019 rate of $7.28/1,000 gal represents a 10% increase.  Perhaps the 2018 rates increased mid-year after we published the sewer rate study.</t>
  </si>
  <si>
    <t>4/26/24: Referred to the 2024 resolution Valier Salla sent to me in Dec. 2023.  Flat monthly rate increased to $8.64 and $17.66/1,000.  Includes alcosan rates, so we removed them to get municipal portion. 
12/13/23:Emailed Valerie Salla mgr) vsalla@colliertwpnet and finance dir Jeff Hinds jhinds@colliertwp.net.  Valerie sent me the 2023 (and 2024) resolutions raising rates for 2023 to: $8.08/monthly service fee and $16.50/1,000.  Both include alcosan fees.
 5/3/22: Emailed George Macino again. 6/22: Found sewage rates by searching online again. https://colliertownship.net/DocumentCenter/View/1314/CTSD-New-Rates-2022  $7.55 monthly service  $15.17 per thousand. Includes alcosan rates.
4/14/22: Emailed Kyle for an update because I couldn't find anything on the website. Found out Kyle left Collier, so emailed Interim Mgr. George Macino gmacino@colliertwp.net on the same day.
4/16/21: Emailed Kyle again. 3/15/2021: Do not see any new rates on CTMA website.  CTMA was dissolved in late April 2020 so I emailed Kyle Thauvette, mgr of Collier Township,  kthauvette@colliertwp.net to see if the rates remain the same for 2021. Kyle replied after 4/16 email saying the rates have increase slightly to $14.18/1,000 gallons of usage and 7.06 monthly service fee.
4/14/21: New rates were posted on CTMA website. $6.60/ monthly sewer charge and $13.25/1,000.  Both include alcosan fees. 
4/1/2020: The CTMA website (http://www.collierctma.com) lists these rates as effective from March 2018 so they remain the same for 2020. $12.65/1,000 gallons and $6.20 monthly service fee.  Includes ALCOSAN fees.   
2019: As per survey from Lori Thompson and Pattie Asturi (Feb 2019)  Overall rates did not increase. $12.65/kg, $6.20 monthly s.c.  Phone call with Lori Thompson clarified that it includes ALCOSAN fees. Collier absorbed ALCOSAN's increase.</t>
  </si>
  <si>
    <t>04/29/24: Found the their fee schedule online dated Dec. 2023 and effective Jan. 1, 2024.  Service fee increased to $3.43 and per thousand rate to $11.14.
12/13/23: I found the fee schedule resolution online dated Dec 8, 2022 and becoming effective on Jan. 1, 2023.  Service fee increased to $3.21 and per thousand rate to $10.41.
5/3/2022: Emailed Doug Sample interim manager@craftonborough.com. Doug replied that the admin fee is $3 and per thousand rate is now $9.73
3/15/2021: Emailed Doug Sample interim manager@craftonborough.com. Doug responded. Rates remain $2.25 monthly service fee and $8.40/1,000 gal. Only ALCOSAN's rates have increased.
4/2020: Emailed the new borough manager, Russell McKibben manager@craftonborough.com  to get an update. 
Russell responded that Crafton's rates have stayed the same. $2.25 monthly service fee and $8.40/1,000 gal. Only ALCOSAN's rates have increased. 
2019:  Survey completed by RJ Susko (Feb. 2019).  Crafton rates have remained the same as 2018.  Bill monthly. $2.25 monthly service fee and $8.40/1,000 gal.  This rate does not include ALCOSAN's rates so the overall sewer rate has only increased by ALCOSAN's rate increase.</t>
  </si>
  <si>
    <t>14/29/2024: Found the 2024 fee schedule online by searching for Dormont 2024 fee schedule.  Rates remain the same at $4.50/1,000.
12/13/2023: Found the 2023 fee schedule online.  Rates remained the same at $4.50/1,000.
5/3/22: Found their 2022 rates online.  They remain at $4.50/1,000 galllons.  Only the alcosan fee increased. http://boro.dormont.pa.us/wp-content/uploads/2022/01/2022-Fee-Schedule.pdf
5/10: Emailed again. Ben responded with: "Dormont follows an ordinance that automatically adopts the annual ALCOSAN fee increase. The Borough’s portion has not changed in a number of years, so the only increase comes from ALCOSAN."   That means that the 2020 rate of $13/1,000 will now be $13.60/1,000.  Once alcosan's rate is removed, Dormont's municipal sewage rate remains $4.50/1,000 gallons.  No flat fee.  4/22/21: Emailed Jordan Tax Service several times with no response so emailed Benjamin Estell, Borough Manager bestell@boro.dormont.pa.us 
3/15/21: Requested from Jordan Tax Service. 
5/2020: Jordan Tax Service (Stephanie Conaway sconaway@jordantax.com) provided 2020 rates:No monthly municipal service fee.  Fee only increased by alcosan's increase from 12.44/1,000 to $13.00/1,000 in 2020. 
2019 rates were obtained from JORDAN TAX SERVICE (4/16/19).  Municipal rates are same as 2018.  $12.44/1,000, which includes ALCOSAN usage rate.  The municipal usage fee remains at $4.50/1,000.  Overall bill only increased by ALCOSAN's increase.</t>
  </si>
  <si>
    <t>4/29/24: Asked Dave and his rates have increased to $6.50/1,000 
12/13/23: Asked Dave if his rates increased in 2023. He confirmed the Rate stayed at $6.00/1,000.
6/29: Dave Montz confirmed that the rate is now $6.00/1,000. 5/3/22: sent a message to Babette.  I did find an ordinance that was approved mid year that raised the rate to $5.50.  I asked Babette if she anticipated an increase on July 1 , 2022. 
.16/2021: Sent an email to Judy Miller (asst mgr) jmiller@greentreeboro.com to see if the rates remain $5/1,000 plus alcosan fees. Babette Legler, Finance Director blegler@greentreeboro.com replied that rates remain $5.00/1,000 gallons plus alcosan.
04/2020: Sent an email to Dave Montz to get an update for 2020. dmontz@greentreeboro.com   He responded that their rates have stayed the same. Municipal rate of $5.00/1,000 did not increase.  Alcosan charges are separate and on top of this rate.
2019: As per survey from Dave Montz (Feb 2019)  Overall rates only increased by ALCOSAN's increase. Municipal rate of $5.00/1,000 did not increase. Phone call with Dave clarified this.</t>
  </si>
  <si>
    <t>Green Tree</t>
  </si>
  <si>
    <t>4/29/24: From the Dec. 2023 email with the manager, it was reported that rates will remain the same in  2024.  Only ALCOSAN rates will increase. $5.48 service fee monthly and $8.62/thousand. 
12/13/2023: Emailed manager@heidelbergborough.org for an update. They replied that Rates stayed the same in 2023 and will remain the same in 2024.  Only ALCOSAN rates will increase. $5.48 service fee monthly and $8.62/thousand. 
 5/4/22: Emailed manager@heidelbergborough.org for an update. Couldn't find current info online. Peggy emailed back and confirmed that Heidelberg's rates remain the same as 2021. $5.48 monthly service charge and $8.62/1,000.  ONly alcosan's rates increased. 
3/16/21: Found an updated ordinance online: https://ecode360.com/HE0717/laws/LF1265633.pdf.  Confirms that the municipal rate remained at $5.48 monthly service charge and $8.62/1,000.  ONly alcosan's rates increased. 
04/2020: Sent an email to Janice Adamski, Borough Manager, for an update. manager@heidelbergborough.org   She responded with the ordinance that they passed with alcosan's increased rates listed and also Heidelberg's of $5.48 monthly service charge and $8.62/1,000 gallons.  The service charge is a few cents less than we had for 2019. Service charges do not usually decrease, but since this is such a nominal difference, we left it as is for 2019. 
2019: Survey completed by Janice Adamski (Feb. 2019). $5.56 flat fee  and $8.62/1,000. No change in Heidelberg's rates from 2018.  ALCOSAN rates are NOT included in these rates.  (Confirmed in a phone call with Janice on 3/13/19).  The only increase in the overall rate is ALCOSAN's rates. (Jordan tax service does their billing.)</t>
  </si>
  <si>
    <t>4/29/24: Checked the rates online and they currently remain the same. https://www.mcdonaldsewage.com/billing-rates. $24.70 monthly service fee and $16/1,000 gallons 
12/13/23: Found 2023 rates online at https://www.mcdonaldsewage.com/billing-rates. $24.70 monthly service fee remained the same, but the per thousand rate increased to $16.00/1,000 gallons.
5/4/22: Found rates online at https://www.mcdonaldsewage.com/billing-rates. They remain the same as 2021.  $24.70 monthly service fee and $13.90/1,000 gallons.
3/16/21: Emailed Gloria. Gloria retired in July 2020.  Kimberly A. Lauff
Recording Secretary replied mcdonaldsewage@mcdonaldboro.com.  She reported that the 2021 rates are $24.70 monthly service fee and $13.90/1,000 gallons. Municipal rate has increased from $92.24 to $112.59.  Includes alcosan fees.
04/2020: Emailed Gloria Stroop, McDonald Sewage Authority Recording Secretary to get an update (McDonald Sewage Authority does not have a website)mcdonaldsewage@mcdonaldboro.com.  She responded confirming that their service fee has remained at $24.70/month and usage has increased from $10.50 to $11.50/1,000.  Alcosan fees are included in this structure.
2019: Survey from Gloria Stroop (Feb. 2019) $24.7/ monthly SC; $10.50/MG incls. ALCOSAN rates.  Municipal rate did not increase from 2018.  No overall increase so McDonald absorbed ALCOSAN's increase.</t>
  </si>
  <si>
    <t xml:space="preserve">4/29/24: Found the 2024 fee schedule online. Rates remained at $4.05 per thousand gallons.  
12/13/23: Found the 2023 fee schedule online.  Rates remained at $4.05 per thousand gallons. 
5/4/22: Found their fee schedule online.  http://www.mtlebanon.org/DocumentCenter/View/18688/2022-Fee-Schedule Rates stayed the same at $4.05/1,000 gallons 
3/16/21: Found their fees online: https://www.mtlebanon.org/DocumentCenter/View/17827/2021-Approved-Fee-Schedule?bidId= They remain $4.05/1,000 for 2021.
04/2020: Sent an email to Teresa Windstein, Assistant Finance Director, for an update. twindstein@mtlebanon.org.  She confirmed that Mt. Lebanon's rates stayed at $4.05/1,000. Alcosan rates are in addition to that.
2019: Survey completed by Teresa Windstein (Feb. 2019).  Mt. Lebanon rate $4.05/1,000 and no flat service feel.  The total overall sewer fee only increased by the ALCOSAN increase ($7.85) </t>
  </si>
  <si>
    <t>4/29/24: Found the 2024 rates online and they remain $3.50 monthly fee and $7.12/1,000. Alcosan fees separate.
12/13/23: Found the 2023 rates online.  They added a $3.50 monthly service charge and  the per thousand rate remained at $7.12
5/4/22:  Found the rates online at same link as 2021.  Rates remaind at $7.12/1,000 gallons.
3/16/21: Found their updated rates online.  https://mtoliver.com/home/for-residents/quick-reference-guide-to-mt-oliver/  They remain $7.12/1,000 gallons.  Only alcosan rates have increased.
04/2020: Sent an email to Rick Hopkinson, Borough Manager, for an update. 
rick.hopkinson@mtoliver.com.  Rick confirmed that Mt. Oliver's rates have stayed at $7.12/1,000 plus ALCOSAN charges.
2019: Survey completed by Rick Hopkinson. (March 2019).  No rate change from 2018.  Remains $7.12/thousand plus all ALCOSAN charges.</t>
  </si>
  <si>
    <t>4/29/24: Found the 2024 rates online: https://mssma.us/sewer-rates-billing/alcosan-rates-budget-2020/  (The heading on the page says 2024 rates.) increased to  $18.74/flat fee monthly and $13.78/1,000 Gallons.  Includes alcosan rates so we subtracted them to get the municipal rate. 
2/21/23: Talked to Jackie Coles by phone.  She said they raised their rates by 5% for 2023, which still doesn't cover the 7% increase from alcosan, but at least they are not absorbing alcosan's entire increase.  Their monthly surcharge is $17.85 and their per 1,000 gal rate is now $13.13.  We removed alcosan fees from the rates to get the municipal portion.
5/4/22: Couldn't find anything on their website. Emailed Jackie Coles for an update.  jcoles@mssma.us .  Jackie replied that the rates have remaind at $17 monthly sewage charge and $12.50/1,000 gallons, which includes ALCOSAN's fees.
3/18/2021: Didn't find an update on MSSMA website so I Emailed Jackie Coles. Jackie confirmed that Munhall's rates stayed the same as 2020. $17 monthly service charge and $12.50/1,000 gallons usage.  Rate structure includes Alcosan's fees.
4/2020: Emailed Jackie Coles, manager of the Munhall Sanitary Sewer Municipal Authority, for an update. jcoles@mssma.us  Resent email on 5/18. June 2: Called Munhall Authority and their voicemail says to contact Legal Tax Service regarding sewer bills.  412-464-9555.  They confirmed Munhall's rates increased to $17 monthly service charge and $12.50/1,000 gallons usage.  Rate structure includes Alcosan's fees.
2019: Survey from Jackie Coles, $16.00/Mo. Scvs charge &amp; $11.50/KG.  Phone call clarified that it includes ALCOSAN fees.  No overall increase so Munhall absorbed ALCOSAN's increase.</t>
  </si>
  <si>
    <t xml:space="preserve">4/29/24: According to the online chart referenced below... Rates increased in 2024  to $25 for the first 3,000 and $12.50/ 1,000 after that.  Includes alcosan rates in the structure so had to remove them for municipal fees.
12/13/23: Found the rates online at https://northfayettepa.gov/432/Sewage ..  Chart shows upcoming rates through 2027.  Rates remained at $24.17 for the first 3,000 gallons and $11/1,000 after that for 2023.  Rates increasing in 2024  to $25 for the first 3,000 and $12.50/ 1,000 after that.  
5/4/22: https://www.north-fayette.com/220/Billing 2022 rates are published as $24.33 for the first 3,000 gallons and $11/1,000 after that. Billed monthly. INcludes the alcosan fee structure so we did the calculations as outlined in 2021 notes.
3/18/2021: A rate schedule is published on North Fayette's website through 2026.  The rates remain the same through 2021. See below for additional notes.To calculate rates, we removed alcosan's one month fee and 3,000 gallon charge from the $23 and then multiplied by 3 to represent one quarter and 9,000 gallons.  The remaining 3,000 were calculated using the $9/1,000 with alcosan removed.  
04/2020: Emailed Dave Lodovico, finance director, for an update. dlodovico@north-fayette.com.  He shared a resolution that they passed in September 2019 that includes a schedule of rate increases through 2026.  The now have a minimum monthly usage fee of $23 for 3,000 gallons. Their rate is $9/1,000 thereafter.  Both of these rates include ALCOSAN fees.  While it seems like they take a loss on each customer, many of their customers are serviced by the Moon Municipal Authority, which has a much lower rate structure.  This rate structure blended across both alcosan and Moon customers does not result in an overall loss for North Fayette, but we chose to only list the alcosan rates since the sewer rate survey is based on the alcosan service area only. 
2019: Person who answered the phone said rates stayed at $67.50 per 9,000 and 7.50/1,000 after that. Dave Lodovico, finance director, 4/15/19 confirmed this includes ALCOSAN rates and expressed his frustration.  He said the township was supposed to raise its rates in 2016 and 2018 but never did.  He also said that residents north of Steubenville Pike have their sewage treated by the Moon treatment plant so once the rates are blended, overall, NF is taking about a $16 hit on each person instead of $22 because the Moon treatment rates aren't nearly as high as ALCOSAN's.  </t>
  </si>
  <si>
    <t>4/29/24: Email from Vicki in Dec. 2023 indicated 2024 rates are $38.45 for the first 1,000 gallons and $18.90 after that.  Alcosan rates are included in that structure so had to be removed.
12/13/23: Emailed Vicki Kaine for an update. kaine@oakdaleborough.com  Vicki indicated 2023 rates increased to $25.95 for the first 1,000 gallons and $17.40/1,000 after that.  We removed alcosan rates from the structure and also used the base rate three times (since Oakdale bills monthly) and then calculated 9,000 additional gallons. 
5/4/22: Emailed Vick Kaine kaine@oakdaleborough.com for an update. She said the rates have remaind the same. $34.20 monthly for the first 1,000 gallons and $15.90/1,000 thereafter.  Includes alcosan fees. Since they bill monthly, we used $34.20 and multipled by three for a quarterly bill and then removed the $20.45 alcosan service fee and $9.73*3 ($29.19) (also alcosan) for the first 1,000 gallons for each of the three months in the quarter.  Then we used the $15.90/1,000 and removed the $9.73 before multiplying by 9. 
3/18/21: Emailed Vicki Kaine.  She replied that Oakdale's rates remain the same. at $34.20 monthly for the first 1,000 gallons and $15.90/1,000 thereafter.  Includes alcosan fees.
 6/3: Called the borough and talked to Vicki Kaine, Borough Office Manager (kaine@oakdaleborough.com 724-693-9740).  She confirmed that the rates increased to $34.20 monthly for the first 1,000 gallons and $15.90/1,000 after that.  This rate structure includes Alcosan fees.5/18: Resent email.  No response. 04/2020: Emailed Laura Ahlborn, Borough Office Secretary, for an update. ahlborn@oakdaleborough.com   
2019: Rate information confirmed with Laura by phone (4/15/19);  Oakdale rates including all ALCOSAN charges increased from $26.35 monthly fee for the first 1,000 gallons to $28.20, and the $12.90 per thousand increased to $13.90.  Overall, the municipal rate increased by 7.5%. Becuse Oakdale bills monthly, we multiplied the monthly minimum usage fee for 1,000 gallons three times for the quarterly bill before adding the per thousand gallon fee ($5.96) for the remaining 10,000 gallons.</t>
  </si>
  <si>
    <t>4/30/2024: Found 2024 rates online: http://www.ptsaonline.org/PTSA_rates_billing.htm  Quarterly charge increased to $44 and usage rate increased to $8.65/1,000.  Includes alcosan rates so we removed them for the municipal rate. 
12/14/23: www.ptsaonline.org lists the same rates as current. $42 quarterly fee and $8.10/1,000. 
5/4/22: 3/20/21: Website still has the same rates published as 2020 so I emailed Enoch Jenkins ejenkins@ptsaonline.org.  Enoch replied and confirmed that the rates remain the same in 2022.  $42 quarterly service fee and $8.10/1000 gallons, These include alcosan fees which means they absorbed alcosan's increase. 
Website still has the same rates published as 2020 so I emailed Enoch Jenkins ejenkins@ptsaonline.org and Sewage Billing Specialist
Donna L. LaManna dlamanna@ptsaonline.org to confirm if the rates are the same. Enoch replied that rates have remained the same at $42 quarterly and $8.10/1,000 gallons.
04/2020: Peters Township Sanitary Authority published 2020 rates. http://www.ptsaonline.org/PTSA_fees.htm $42 quarter flat fee and $8.10/1,000 for usage. These include ALCOSAN fees.
2019: Survey completed by Enoch Jenkins General Manager, Peters Township Sanitary Authority. ejenkins@ptsaonline.org(March 2019).  $36.00 service charge and $7.15/1,000 gallons.  These include ALCOSAN rates.  Peters has only a few ALCOSAN customers so they absorb the cost of the additional ALCOSAN rates for those customers.</t>
  </si>
  <si>
    <t xml:space="preserve">4/30/24: In Dec. 27 email, Kelly Theiss confirmed that the 2024 fees will be the same $13.34 monthly service fee and $1.00/100 gallons ($10/1,000 gallons). (She said the billing agent did not like the the three digits .996 from 2023, so they made it an even amount for 2024)
12/14/23: Emailed Kelly for an update.  12/27/23: Emailed Kelly again. She replied that the monthly service fee remained $13.34 and the usage fee was increased to .996/100 gallons which is $9.96/1,000.  These fees include alcosan fees.  Rates are increasing a little  in 2024.
 5/4/22: Emailed Kelly for an update. Kelly replied that there is no increase in rates so that means they are absorbing alcosan's increase. Monthly service fee $13.34  and $8.40 per 1,000 gallons 
4/16/21: Emailed Kelly again kelly.theiss@pleasanthillspa.com.. 3/22/21: Emailed Kelly. Kelly replied after the 4/16 email that Pleasant Hills rates did increase: Monthly service fee $13.34  and $8.40 per 1,000 gallons 
04/2020: Emailed Kelly Theiss, Borough Manager, for an update. kelly.theiss@pleasanthillspa.com.  Kelly confirmed that their rates have stayed the same.   Since they have only a few ALCOSAN customers, they choose to absorb ALCOSAN fees for those customers.  $13.34 monthly service fee and $7/1,000 gallons. ALCOSAN fees are included. 
2019: ALCOSAN provides minimal service (like 6 homes), they have their own treatment plant.  4/16/19 Spoke with Kelly Theiss, the borough manager. Rates stayed the same. ALCOSAN fees ARE included.  (Legal Tax Service who does the billing confirmed that ALCOSAN fees are not listed separately on the bill.) They bill mnthly $13.34 service fee and $7/1,000 gallons, but I put the service fee in the quarterly box to deduct ALCOSAN fees. </t>
  </si>
  <si>
    <t xml:space="preserve">5/01/24: Found the 2024 schedule of fees online. https://www.robinsonwater.com/docs-form/rate-schedule-2024.  Quarterly service fee increased to $26.18 and usage increased to $9.20/1,000. Alsocan rates are built in so Robinson still absorbs some of the cost.
12/13/23: Found schedule of rates online for 2023.  Quarterly fee increased to $24.92 and per 1,000 gallons increased to $8.76. Alcosan rates are built into these amounts so Robinson still absorbs some of the cost. 
 5/5/22: Emailed both Shawn and Darrin for an update.  6/23/22: Emailed them both again along with admin@robinsonwater.com.  Heard back from Darrin.  (Shawn is no longer there). Quarterly rate remained at $23.73, but the per thousand rate increased to $8.36/1,000. Both include alcosan fees so they still take a loss on the consumption charge.
5/12/21: Shawn Rosensteel (ED of Robinson Water) responded and asked to be copied on future communications. srosensteel@robinsonwater.com.  Darrin also responded that there have been no change in sewage rates so Robinson is absorbing alcosan's increases since alcosan rates are incorporated. $23.73 quarterly and $7.94/1,000.  5/10/21: Tried emailing the manager Frank Piccolino -  fpiccolino@townshipofrobinson.com 4/16/21: Emailed Darrin again. 03/22/21: Emailed Darrin dniemeyer@robinsonwater.com
04/2020: Emailed Darrin Niemeyer, Controller for The Municipal Authority of the Township of Robinson for an update. dniemeyer@robinsonwater.com 5/18: Resent email.  Did not hear from Darrin, so visited their website again - https://www.robinsonwater.com/sites/default/files/rate_schedule_5-1-2020.pdf -  and found updated sewer rates as of May 1, 2020: $23.73 quarterly fee and their usage fee increased from $7.24/1,000 to $7.94/1,000. Both include alcosan fees.
2019: Survey completed by Darrin Niemeyer, Controller,  (March 2019).  Rates did not increase overall so they absorbed ALCOSAN's increase.  Their rates were clarified by phone . Darrin indicated that both their quarterly flat service fee of $23.73 and their usage fee of $7.24/1,000 gallons included ALCOSAN's rates, which means they take a loss on their usage fee. </t>
  </si>
  <si>
    <t>5/1/24: Found the rates online: https://scott-twp.com/departments/sewage/  The municipal portion remains $3/1,000 gallons.  Only alcosan rates increased. 
12/13/23: Found 2023 rates online: https://scott-twp.com/departments/sewage/.  The municipal portion remained $3/1,000.
03/22/21: Emailed Denise. She confirmed that the rates have remained the same $3.00/1,000 gallons.  Alcosan fees are separate. Denise confirmed that Scott's rates remain the same for 2022. 
04/2020: Emailed Denise Fitzgerald, Township Manager for an update. dfitzgerald@scotttownship.com. Denise replied.  Scott Township's rates stayed the same in 2020. $3.00/1,000 gal in 2019. ALCOSAN rates are separate.
Survey completed by Denise Fitzgerald (March 2019).  Municipal rate increased 50% from $1.50/1,000 gal to $3.00/1,000 gal in 2019. ALCOSAN rates are separate.</t>
  </si>
  <si>
    <t>South Fayette</t>
  </si>
  <si>
    <t xml:space="preserve">5/1/24: found updated rates on SF website https://matsf.net/   For 2024: quarterly service charge increased to $15 and usage increased to $14.78/1,000.  Includes alcosan rates, so we removed to get municipal fees.
12/14/23: Found updated rates on South Fayette's website.  https://matsf.net/  Service fee remains at $12/month.  Per thousand rate increased in 2023 to $14.05 to accommodate alcosan's increase. 
5/4/22: Found updated rates on South Fayette's website: https://matsf.net/  "For 2022, the basic monthly service charge will continue to be $12.00. The MATSF service charge is billed to all customers regardless of water use and is primarily utilized for fixed costs such as debt service (repayment of loans), insurance, billing and similar costs. Commencing with your next (February) bill, the consumption charge will increase from $12.85/thousand gallons to $13.25/thousand gallons. This is directly a result of ALCOSAN’s 2022 rate increase as discussed in detail in the MATSF 2022 budget. "
03/22/21: Found updated rates on South Fayette's website: https://matsf.net/  "For 2021, the basic monthly service charge will continue to be $12.00.  Commencing with your next (February) bill, the consumption charge
will increase from $12.15/thousand gallons to $12.85/thousand gallons. This is directly a result of ALCOSAN’s 2021 rate increase as discussed in detail in the MATSF 2021 budget."  While this rate looks different than last year, that is only because the rate was broken out last year from alcosan and this year SF is publishing the rates with alcosan rate structure included.  Rates remain the same for residents in the end. 
04/2020: Emailed Jerry Brown, Managing Director of the South Fayette Municipal Authority for an update.  Jerry responded.  Their monthly service fee decreased again this year from  $6.44 to $6.05 and their per thousand gallon charge increased from $3.56/1,000 to $3.65/1,000. 
2019: Per Jerry Brown survey response. reduced monthly service fee from $6.80 to $6.44 (decrease of 5.3%) and increased rate per 1,000/gal from $3.34 to $3.56 (increase of 3.8%).   </t>
  </si>
  <si>
    <r>
      <t xml:space="preserve">5/1/24: In a Dec. 14, 2023 email, Roberta confirmed that rates will remain $4.50/1,000 gallons in 2024.  Alcosan rates are separate.
12/14/23: Emailed Roberta Farls sec. at secretary@stowetwp.net for an update. Reoberta replied that rates stayed the same $4.50/1,000 in 2023 and will remain the same in 2024.
05/5/22: Emailed the new manager: Dwight Boddorf, Secretary 
secretary@stowetwp.net. Dwight replied.  Rate remains the same for 2022.
03/22/21: Emailed Nick Martini. nmartinistowetownship@gmail.com He confirmed STowe's rate remains the same for 2021. $4.50/1,000. Only ALCOSAN fees have increased.
04/2020: Emailed Nick Martini, Township Manager for an update. nmartinistowetownship@gmail.com.  Nick Martini responded that STowe's fee of $4.50/1,000 remains the same for 2020.  Only ALCOSAN fees have increased.
2019: Talked with Debbie in the Admin office (4/11/19).  Nicholas Martini is the new manager.  Hasn't responded to the survey. </t>
    </r>
    <r>
      <rPr>
        <b/>
        <sz val="9"/>
        <rFont val="Calibri"/>
        <family val="2"/>
        <scheme val="minor"/>
      </rPr>
      <t xml:space="preserve"> </t>
    </r>
    <r>
      <rPr>
        <sz val="9"/>
        <rFont val="Calibri"/>
        <family val="2"/>
        <scheme val="minor"/>
      </rPr>
      <t xml:space="preserve">Debbie requested an email to her with the rate request and she will try to obtain the info. Sent an email request to Debbie on 4/11.(Followed up with a phone call on 4/16/19: Debbie has been unable to find the 2019 sewage rate information.  Nicholas doesn't know either. She checked her own personal bill from the last quarter of 2018 and it breaks out ALCOSAN costs and $4.50/1,000 for the municipal portion.  We are going to keep these rates for 2019 until we can confirm that they may be different.  </t>
    </r>
  </si>
  <si>
    <t>5/1/24: In Dec. 15, 2023 email Dorothy confirmed that there will be no municipal fee charged in 2024. 
12/14/23: Emailed Dorothy Falk. She confirmed that alcosan bills their residents directly so Thornburg does not charge a fee.  Did not in 2023 and unlikely to in 2024. 
5/6/22: Emailed Dorothy Falk. She confirmed that things remain the same.  No municipal fee.
3/22/21: Emailed Dorothy Falk.  She replied that Thornburg still does not charge a municipal fee to its customers.  
4/2020: Emailed Dorothy Falk, Secretary/Treasurer, for an update. thornburg.secretary@gmail.com.  Dorothy repled and confirmed that Thornburg does not charge any municipal fee continuing into 2020.  Alcosan bills customers directly.
2019: Survey completed by Dorothy Falk (March 2019).  ALCOSAN bills customers directly.  Thornburg does not charge an additional municipal fee.</t>
  </si>
  <si>
    <t>5/1/24: In a Dec. 14, 2023 email, Mark Romito indicated the 2024 rates will actually decrease ever so slightly to $13.10 monthly and $18.72/1,000.  These include alcosan rates.
12/14/23: Emailed Mark Romito for an update.  He replied with updated rates. $13.14 monthly service fee (includes alcosan) and then $18.74/1,000 (also includes alcosan cost). Rates are going down slightly in 2024.
6/22: Matt Serakowski ask the director of finance to respond.  Mark Romito  romito@twpusc.org.  He said they reduced the mulitplier to 1.86 this year so the monthly charge is $12.68 and the per 1,000 rate is $18.10.  We need to remove alocsan's fees from this structure to get the correct municipal fee. 
5/6/22: Searched the USC website using this link. https://www.twpusc.org/departments/finance/sewer.php Still only included 2021 rates but based onthe 1.93 multiplier and alcosan's increase, the monthly charge would go to $13.15/month and $18.78/1,000.  I emailed Matt Serakowski, Manager (serakowski@usctwp.org) for confirmation.
03/22/21: Found updated rates on the USC website. https://www.twpusc.org/departments/finance/sewer.php  This year, they are using a multiplier of 1.93 on the alcosan rates resulting in a monthly fee of $12.29 fee and $17.56/1,000 gallons for usage.  The published rates include alcosan's fees so we have incorporated them into the chart using those same numbers. 
04/2020: Emailed Mark Romito, Director of Finance for an update. romito@twpusc.org.  Mark responded and said that USC once again used the 2X ALCOSAN rate formula so their rates increased the same as ALCOSAN's. $5.95/monthly service fee and $8.50/1,000 gallons.
Survey completed by Mark Romito, Director of Finance (March 2019) Multiplier set at 2.00 times ALCOSAN rates….monthly service charge $5.56 &amp; $7.94/1,000 gallons.  Overall the muncipal portion of the bill increased by 1.9% according to Mark.</t>
  </si>
  <si>
    <t>4/17/24: Bill Retired at the end of 2023. Talked to Donna McMichael by phone.  Rates are now separate. For 2024, West Homestead is charging $1.89 and $6.75/1,000 and then alcosan rates are  separate on the bill.
12/14/23: Emailed Bill for an update. Bill emailed updated rates: $8.96/monthly service fee and $16.34/1,000.  Includes alcosan fees.  Increasing again in 2024. 
5/6/22: Emailed Bill to see if they increased their rates based on alcosan's increase. Bill emailed new rates. $8.28 monthly service charge and $14.92/1,000.  Both include alcosan fees.
5/10/21: Requested several times from Jordan Tax with no response so emailed Bill Etherington manager@westhomesteadpa.com.  He replied that their rates have only gone up by alcosan's increase so their municipal fees remain $1.28 service fee and $4.55/1,000 gallons.  Overall rates are $7.65 monthly service fee and $13.65/1,000  3/15/21: Requested from Jordan Tax Service. 
5/2020: Jordan Tax Service (Stephanie Conaway sconaway@jordantax.com) provided 2020 rates: $7.23 flat monthly service charge and $13.05/1,000 gallons usage.  Both fees include alcosan rates and only increased by alcosan's increase. Municipal rates remain at $1.28 monthly service fee and $4.55/1,000 usage.
2019 rates were obtained from JORDAN TAX SERVICE (4/16/19).  Municipal rates are same as 2018.  $6.84/monthly service fee and $12.49/1,000. Both include ALCOSAN rates.  The municipal fees remaiin at $1.28/mo service fee and  $4.55/1,000.  Overall bill only increased by ALCOSAN's increase.</t>
  </si>
  <si>
    <t xml:space="preserve">5/1/24: Found 2024 rates online. https://wmssma.org/rates  Rates remained the same. $19/monthly service charge and the per 1,000 gallon rate stayed at $8.58 so they continue to absorb alocsan's increase. 
12/14/23: Found 2023 rates online. Service charge monthly remains at $19 and the per thousand gallons charge is $8.58 so their rates have not changed.  They include ALCOSAN rates so West Mifflin is absorbing the alcosan increase. 
05/6/22: Emailed Gary Stetar garys@wmssma.org  I still found the 2020 rates on the website.  Trying to confirm if those rates stayed the same for 2022 or increased. Gary confirmed the rates are the same so that means they are absorbing alcosan's increase since alcosan fees are in the structure.
 03/22/21: Emailed Marinda Henze to see if the rate changed.  The rate page on their website still shows the 2020 rates. http://wmssma.org/rates.htm.  She confirmed that the rates have remained the same. $19/monthly service charge and the per 1,000 gallon rate stayed at $8.58
04/2020: I checkd the WMSSMA website and it looks like their rates have increased to a $19/monthly service charge and the per 1,000 gallon rate stayed at $8.58.  The structure includes alcosan fees. Emailed Marinda Henze, West Mifflin Sanitary Sewer Municipal Authority to confirm. mindylulu@wmssma.org  Marinda confirmed that the rates above are current for 2020. 
2019: Survey from Marinda Henze, West Mifflin Sanitary Sewer Municipal Authority. $17/mo. scvs. Charge and 8.58/1,000 gal.  Includes ALCOSAN fee.  No overall rate increase this year so West Mifflin absorbed ALCOSAN's increase. </t>
  </si>
  <si>
    <t>5/1/24: According to a Dec. 15, 2023 email, Jean Whitaker confirmed that rates would remain the same in 2024. Whitaker bills monthly, so we used the $11.89/4,500 three times to calculate the cost.  Alcosan rates are separate. 
12/14/23: Emailed Jean Warren for an update.  She confirmed the rates stayed the same for 2023. Whitaker bills monthly, so we used the $11.89/4,500 three times to calculate the cost 
05/6/22: Emailed Jean Warren to see if rates have changed. Jean responded that the rates remain the same for 2022. Whitaker bills monthly, so we used the $11.89/4,500 three times to calculate the cost for 12,000 gallons in a quarter. Jean asked that we update the borough email address to: whitakerpa@outlook.com
03/22/21: Emailed Jean Warren. She confirmed the rates have stayed the same.$11.89/4,500 gallons min. usage monthly and $2.50/1,000 after that.  Alcosan rate are charged separately.
04/2020: Emailed Jean Warren, Secretary for an update. whitaker@rdm-inc.com  Jean replied that there has been no change to Whitaker's rates. They remain at municipal flat rate of $11.89/4,500 gallons min. usage monthly and $2.50/1,000 after that. 
2019: Per survey from Jean Warren, Secretary, municipal flat rate of $11.89/4,500 gallons min. usage monthly and $2.50/1,000 after that remains the same as 2018. These rates do not include ALCOSAN's rates.  Overall rates only increased by ALCOSAN's increase (A total of $7.85).  Whitaker bills monthly so the flat fee of $11.89 would apply three times before the per thousand gallon rate kicked in.  Since we are calculating for 13,000 gallons/qtr.  and the monthly minimum usage charge covers 4,500 gallons, there was no need to use the $2.50/1,000 rate.</t>
  </si>
  <si>
    <t>Whitehall</t>
  </si>
  <si>
    <r>
      <t xml:space="preserve">5/1/24: Found rates online. whitehallboro.org/sewer   For 2024, rate increased to </t>
    </r>
    <r>
      <rPr>
        <u/>
        <sz val="9"/>
        <rFont val="Calibri"/>
        <family val="2"/>
        <scheme val="minor"/>
      </rPr>
      <t xml:space="preserve">15.60/1,000.  Includes alcosan rates, so we subtracted to get municipal portion. 
</t>
    </r>
    <r>
      <rPr>
        <sz val="9"/>
        <rFont val="Calibri"/>
        <family val="2"/>
        <scheme val="minor"/>
      </rPr>
      <t>12/14/23: Found 2023 rates online whitehallboro.org/sewer  It lists their rate as $14.57/1,000 which is 3 cents less than 2022, which they confirmed was $14.60.  
05/6/22: Found 2022 rates on their website: https://whitehallboro.org/for-residents/utilities/ "The 2022 sewage rate is $14.60 per thousand gallons of water used. In addition, the Allegheny County Sanitary Authority (ALCOSAN) bills a Customer Service charge of $20.45 per bill."
03/22/21: Checked Whitehall's website and found the 2021 rates: https://whitehallboro.org/for-residents/utilities/  They bill quarterly. "The 2021 sewage rate is $14.01  per thousand gallons of water used. In addition, the Allegheny County Sanitary Authority (ALCOSAN) bills a Customer Service charge of $19.11 per bill."  This usage rate includes alcosan's fees. 
04/2020: Found information on the Whitehall borough website regarding 2020 sewer rates. https://www.whitehallboro.org/borough-pages/finance-tax.html "The 2020 sewage rate is $13.43 per thousand of gallons of water used. In addition, the Allegheny County Sanitary Authority (ALCOSAN) bills a Customer Service charge of $17.86 per bill."  That means whitehall is absorbing a portion of the increase from alcosan so the municipal portion of the bill has actually decreased by a few dollars.
2019: 2019 rates were obtained from JORDAN TAX SERVICE (4/16/19).  Municipal usage rate increased by 30 cents from $4.30 to $4.60  (about 6% increase).  $12.54/1,000.  includes ALCOSAN rates.  They bill quarterly.</t>
    </r>
  </si>
  <si>
    <t>5/1/24: In a Dec. 15, 2023 email, Lorraine indicated the 2024 rates will increase to $3.15/1,000  The flat quarterly fee of $9.95 will stay the same.  Alcosan rates are separate. 
12/14/23: Emailed Lorraine Makatura and she confirmed that rates remained the same $9.95/qtr and $2.10/1,000 for 2023, but will be increasing in 2024. 
7/18/22: Called Jordan Tax Service.  They confirmed that the quarterly fee remains $9.95 and $2.10/1,000 plus alcosan's fees. 
6/23/22: Emailed Lorraine again. 5/6/22: Looked on Avalon's website, but it still said 2021 rates so emailed Lorraine Makatura lmakatura@boroughofavalon.org to confirm rates. 
3/25/21: Checked Avalon's website and found 2021 rates: http://www.boroughofavalon.org/resources/utilities. Sewer rates for 2021 are $11.20 per 1,000 gallons treated and also includes a service charge of $29.06 per quarter.  (This includes alcosan's fees) Muncipal rates remain the same.  They have not increased.
4/2020: Lorraine Makatura confirmed via email that Avalon's rates remain the same for 2020.
2019: Survey completed by Lorraine Makatura (March 2019).  Avalon has not increased its rates since they began implementing a municipal fee in 2005.</t>
  </si>
  <si>
    <t>Avalon</t>
  </si>
  <si>
    <t xml:space="preserve"> 5/1/24: Found the ordinance online: https://ecode360.com/BE2267/document/753005755.pdf  for 2024 sewage rates.  They remain at  $2.75 quarterly fee and $3.25/1,000 for usage for 2024.
12/15/23: Found an ordinance online from Dec. 2022 that shows a slight increase in rates. $2.75 quarterly fee and $3.25/1,000 for usage. https://ecode360.com/BE2267/document/702554428.pdf
5/6/22: Emailed Cindy Bahn for an update. She sent me a copy of their ordinance which outlines the new rate: $2.50 quarterly service fee and $3.00/1,000 which represents a slight increase for 2022.
3/29/21: Emailed Cindy Bahn, Director of Administrative Services manager@bellevueboro.com.  Rates remain the same.  $2/quarter service fee and $2.50/1,000.  Alcosan rates are separate.
4/2020: Emailed Paul Cusick, Interim Director of Administrative Services (listed on Bellevue Borough's website)cusick@bellevueboro.com  5/18: Resent the email. 5/26: Cindy Bahn is the new manager and she replied to the email saying that Bellevue's rates have remained the same: $2/quarterly service fee and $2.50/1,000 gallons usage. 
2019: Phone call with Rob Borczyk (April 2019) confirmed there is no increase in municipal sewer rates from 2018.  They remain $2.00 quarterly service charge and $2.50/1,000 gallon usage. </t>
  </si>
  <si>
    <t xml:space="preserve">5/1/24: Ken Opipery indicated in an email on Dec. 15, 2023 that there will be no municipal sewage fee implemented in 2024. 
12/15/23: Emailed Ken to ensure they did not institute a sewage rate fee this year. Ken confirmed 2023 remained that same with no sewage fee and none anticipated in 2024.
5/6/22: Emailed Ken to check in and confirm that they do not charge a municipal sewage fee. Ken confirmed they do not charge a sewage fee. 
3/29/21: Emailed Ken Opipery. opipery@benavon.com 4/16/21: Emailed Ken again and he replied .They still do not charge a sewage fee.  If they need revenue, they do it through tax increase.
4/2020:  Emailed Ken Opipery, Finance Director, for an update. opipery@benavon.com  5/18:  Forwarded my email request to Terrie Patsch, Borugh Secretary. benavon@benavon.com 5/2020: Ken replied... "Ben Avon does not collect revenues via a surcharge on ALCOSAN rates.If a tax increase is required to cover expenses, it is done through the budget process where needs are fulfilled via real estate taxes.  We feel that is more transparent than a surcharge on another entity’s rates."
Spoke with Terrie Patsch (April 2019) ALCOSAN bills Ben Avon customers directly; Terrie suggested speaking with Ben Avon's Finance Director Ken Opipery who confirmed that  Ben Avon does not have any municipal sewage charge. </t>
  </si>
  <si>
    <t>5/1/24: As Kathy Ulanowicz noted dure a phone call in Dec., the 2024 rates are $45 quarterly municipal fee (does NOT inc. alcosan fee) and $12.94 /1,000 (DOES inc. alcosan fee. )  Alcosan service fee charged separately. 
12/15/23:  Found the 2024 rates online so I called regarding 2023.  Kathy told me the rates for 2024 are the same as they were for 2023.  $45 flat quarterly fee and $12.94/1,000. 
5/2022: Found the rates on their website and it reflected alcosan's $20.45 quarterly fee  so that confirms they are current. $12.09/1,000 gallons inc. alcosan fee and $45 service charge line fee. https://www.blawnox.com/public-works/pages/utility-billing-rates#:~:text=Sewer%20Rates%3A,as%20a%20%2445%20quarterly%20charge.
4/16/21: Emailed Kathy through the website again as they do not publish email addresses. 3/29/21: Emailed Kathy Ulanowicz through the Blawnox website. After the 4/16 email, Kathy forwarded the message to the asst mgr Mallori McDowell, mmcdowell@blawnox.net. She reported that the rates did increase some in 2021: still have a quarterly $45 sewer line surcharge. The first 1,000 gallons cost $30.41, which includes a $19.11 per customer fee from ALCOSAN and $11.30 for the processing. Then it is $11.30 for each additional 1,000 gallons, which includes the ALCOSAN charge (which I believe is $9.10/1,000 gallons). 
4/14/2020: Sent an email to Kathy U via the Blawnox website. Kathy responded with this information: The $45 sewer line surcharge is still in place.  The first 1,000 gallons is a  minimum charge which includes $17.86 per customer fee from ALCOSAN and $10.70 for the processing. $28.56 is the cost of the first 1,000 gallons and $10.70 for each additional 1,000 gallons.  Using the same structure as last year's fees, we removed ALCOSAN's per 1,000 gallon charge from the fee to determine the municipal portion of the fee.  
2019: Confirmed rates with Kathy Ulanowicz by phone (4/15/19). They bill a $45 sewer line surcharge quarterly which does not include any ALCOSAN fees.  Then they bill $26.69 quarter for the first 1,000 gallons which does include ALCOSAN $16.69 fee and $7.94/1,000 leaving $2.06 to represent the municipal per 1,000 gallon cost.  After the first 1,000, the fee is $10/1,000, but includes alcosan so again it is $2.06 municipal fee.  Even though the rate stays the same for the first 1,000 and everything after it, we included the calculations to show how Blawnox actually bills their customers. (ALCOSAN is not broken out on their bill.)</t>
  </si>
  <si>
    <t>5/1/24: In a Dec. 17, 2023 email, Rebecca indicated rates would remain the same in 2024. 
12/15/23: Emailed Rebecca and Cathy for an update. Rebecca replied that rates remain the same in 2023.  $2 quarterly service charge and $5.60/1,000 usage. 
6/26/22: Rebecca McNeil (emsworthtreasurer@comcast.net)  got back to me and confirmed their rates have remained the same for 2022. $2 quarterly service charge and $5.60/1,000 usage. 
6/23/22: Emailed Cathy for an update.  Cathy replied that she believes the rates remain the same but is double checking with finance director. 
3/29/21: Emailed Cathy Jones at Emsworth. emsworthborough@comcast.net.  She replied "At the December 2020 council meeting the following was approved - $5.60/1000 gallons + $2 quarterly service charge.  This would go into effect with the bills that are sent out in April, for period 11/13/2020-2/13/2021."  alcosan fees are now listed separately on their bills. 
4/14/2020: Sent email to Kathy Taschner via Emsworth website. 5/18: Resent email to Cathy Jones, Borough Secretary, directly from Outlook rather than through their website. 05/2020: Kathy Taschner responded to my follow up email indicating that the Emsworth rates increased by alcosan's increase to $19.86 quarterly service fee and $13.85/1,000. The municipal rate stayed the same at $2 service fee and $5.35/1,000 gallons. 
Spoke with Kathy Taschner at Emsworth in the sewage office. (April 2019).  Bill quarterly. Their rates include ALCOSAN's. They did not increase the municipal rate from 2018.  Only ALCOSAN's rate went up. $18.69/service charge and $13.29/1,000 gallons</t>
  </si>
  <si>
    <t>5/1/24: Ed DeSantis provided me with the resolution establishing the 2024 rates.  They moved to monthly billing (from bimonthly) and the rates are set at $12.50 monthly service fee and $16.80/1,000 gallons usage.  These rates include alcosan fees so when we remove the alcosan fees, the overal municipal rate actually decreased a little. Jessica Donohue from Hampton Shaler Water Authority, who does the billing, confirmed that customers are not charged alcosan fees separately. 
12/27: Emailed mary ellen and Ed again as there has been no follow up. Ed sent the 2023 resolution with an increase. $23.36 bimonthly fee and $15.70/1,000.  These include alcosan's fees. 
12/15/23: Emailed Sue Brown for an update. info@etnaborough.org.  Mary Ellen Ramage replied that Sue retired.  Ed DeSantis Asst Borough Manager is handling this now. edesantis@etnaborough.org.  Mary Ellen copied him on the email request to verify the rates.  
6/23/22: Emailed Sue Brown for an update. info@etnaborough.org.  Sue replied with the new rates bimonthly: Environmental Surcharge is $21.83 (does not include ALCOSAN’s Flat fee) and $14.67 for each 1,000 gallons of water usage (which does include ALCOSAN’s Charge)
4/13/21: Emailed Sue Brown for an update. info@etnaborough.org  Sue replied that there has been an increase for 2021.  Etna’s rates include a bimonthly flat fee  (Environmental Surcharge) of $20.40 (which does NOT include ALCOSAN’s flat fee) $13.71 for each 1,000 gallons of water usage.  This amount does include the ALCOSAN Charge. 
4/2020: I emailed Sue and she replied with the following rates.  Bimonthly surcharge of $19.07 (does not include alcosan) and per thousand gallon rate of $12.81, which does include alcosan so the municipal portion becomes $4.31/1,000. 
Survey completed by Sue Brown (Feb. 2019). Billing is every two months: $17.82 service charge; $4.07/1,000.  Etna's rates increased by 7% along with ALCOSAN's rate increase.  This rate structure does not include ALCOSAN fees.</t>
  </si>
  <si>
    <t>5/1/24: 2024 rates are online http://www.foxchapelwater.com/rates-and-fees/  Remains the same. Flat fees of $15 (line charge) and $45 (EDU charge) quarterly along with $4.66/1,000 gallons fee.  Alcosan separate.
12/15/23: Found the rates online http://www.foxchapelwater.com/rates-and-fees/.  Rates remained $60 quarterly fee and $4.66/1,000 usage.
5/22: Obtained the 2022 sewer rates from Fox Chapel Authority website. Rates remained the same. Only alcosan's rates increased. http://www.foxchapelwater.com/rates-and-fees/
Fox Chapel Borough
 Effective 1/1/16
Line charge $15.00/qtr.
EDU* charge $45.00/qtr.
Consumption charge $4.66/1,000 gals
4/14/21: Obtained the 2021 sewer rates from Fox Chapel Authority website. Rates remained the same. Only alcosan's rates increased. http://www.foxchapelwater.com/rates-and-fees/
4/2020: Obtained the 2020 sewer rates from Fox Chapel Authority website. Rates remained the same. Only alcosan's rates increased. http://www.foxchapelwater.com/rates-and-fees/
2019 sewer rates obtained from Fox Chapel Water Authority website. http://www.foxchapelwater.com/rates-and-fees/ (April 2019)</t>
  </si>
  <si>
    <t>5/1/24: Rates online at FC Water Authority http://www.foxchapelwater.com/rates-and-fees/  Effective 1/1/24 rates increased to $7.45 flat quarterly charge and $3.10/1,000 gallons. Alcosan separate.
12/15/23: Obtained sewer rates from the Fox Chapel Water Authority website.Says effective 1/1/23:rates increased to  $6.45 qtr charge and $2.65/1,00 gallons. 
5/22: Obtained sewer rates from the Fox Chapel Water Authority website.Says effective 1/1/19: $5.75 qtr charge and $2.35/1,00 gallons. (Other communities' rates have changed with a 2022 date so it's a safe assumption that the rates page is up to date and the O'Hara Rates have stayed the same for 2022.)
 4/2021: Obtained sewer rates from the Fox Chapel Water Authority website.Says effective 1/1/19: $5.75 qtr charge and $2.35/1,00 gallons. Rates have stayed the same for 2021. http://www.foxchapelwater.com/rates-and-fees (Other updates have been made on this page for 2021 rates, i.e. alcosan and other communities) so the page info is up-to-date and that means O'Hara rates are up-to-date as well.
4/2020: Obtained sewer rates from the Fox Chapel Water Authority website.Says effective 1/1/19: $5.75 qtr charge and $2.35/1,00 gallons. Rates have stayed the same for 2020. http://www.foxchapelwater.com/rates-and-fees
2019 sewer rates obtained from Fox Chapel Water Authority website. http://www.foxchapelwater.com/rates-and-fees/ (April 2019)</t>
  </si>
  <si>
    <t>5/1/24: Rates online at FC Water Authority http://www.foxchapelwater.com/rates-and-fees/  Effective 1/1/24 rates remained $50 flat quarterly charge and $3.00/1,000 gallons. Alcosan separate.
12/15/23: Found the 2023 rates on Fox Chapel Authority website because they do the billing. Fairview quarterly charged stayed at $50 and Ottawa remained at $95 and the usage fee stayed $3.00/1,000 for all Indiana Township residents. 
5/22: Found the 2022 rates on Fox Chapel Authority website because they do the billing. Fairview quarterly charged stayed at $50. Ottawa increased to $95 and the usage fee increased to $3.00/1,000 for all Indiana Township residents. 
3/29/21: Emailed Candy. cwygonik@indianatownship.com She replied that rates have gone up to $2.75/1,000 gallons.  Fairview Service charge is $50/quarterly and Ottawa is $90. 
4/2020::  Emailed Candy.  She confirmed that the rates have stayed the same for 2020.  
Survey completed by Candy Wygonik.  Indiana has several billing districts with different service charges and billing cycles, but they all charge $2.25/1,000.  Municipal rates increased by 2.86% plus ALCOSAN's rate increase. All info was clarified with a phone call (April 2019).  Fairview's service charge is $50/quarterly.</t>
  </si>
  <si>
    <t>5/1/24: Rates online at FC Water Authority http://www.foxchapelwater.com/rates-and-fees/  Effective 1/1/24 rates remained $95 flat quarterly charge and $3.00/1,000 gallons. Alcosan separate.
12/15/23: Found the 2023 rates on Fox Chapel Authority website because they do the billing. Fairview quarterly charged stayed at $50 and Ottawa remained at $95 and the usage fee stayed $3.00/1,000 for all Indiana Township residents.  Middle road residents are only charged the usage fee.
5/22: Found the 2022 rates on Fox Chapel Authority website because they do the billing. Fairview quarterly charged stayed at $50. Ottawa increased to $95 and the usage fee increased to $3.00/1,000 for all Indiana Township residents. 
3/29/21: Emailed Candy. cwygonik@indianatownship.com She replied that rates have gone up to $2.75/1,000 gallons.  Fairview Service charge is $50/quarterly and Ottawa is $90, although FC authority shows the quarterly charge for Ottawa as $85 and they do the billing so that is the number included on the chart. 
4/2020:  Emailed Candy.  She confirmed that the rates have stayed the same for 2020.  
2019: Survey completed by Candy Wygonik in Finance.  Indiana has several billing districts with different service charges and billing cycles, but they all charge $2.25/1,000.  Municipal rates increased by 2.86% plus ALCOSAN's rate increase. All info was clarified with a phone call (April 2019).  Ottawa's service charge is $75 quarterly.</t>
  </si>
  <si>
    <t xml:space="preserve">5/1/24: Rates online at FC Water Authority http://www.foxchapelwater.com/rates-and-fees/  Effective 1/1/24 rates remained  $3.00/1,000 gallons.  (Middle road residents are not charged a flat fee.) Alcosan separate.
12/15/23: Found the 2023 rates on Fox Chapel Authority website because they do the billing. Fairview quarterly charged stayed at $50 and Ottawa remained at $95 and the usage fee stayed $3.00/1,000 for all Indiana Township residents.  Middle road residents are only charged the usage fee.
5/22: Found the 2022 rates on Fox Chapel Authority website because they do the billing. Fairview quarterly charged stayed at $50. Ottawa increased to $95 and the usage fee increased to $3.00/1,000 for all Indiana Township residents. 
3/29/21: Emailed Candy. cwygonik@indianatownship.com She replied that rates have gone up to $2.75/1,000 gallons.  Fairview Service charge is $50/quarterly and Ottawa is $90. 
4/2020:  Emailed Candy.  She confirmed that the rates have stayed the same for 2020.  She also reiterated that about 30 customers in District I in 2019 began incurring a monthly service fee of $15 for a new pump station.  Didn't represent the whole district so it is not included. 
2019: Survey completed by Candy Wygonik.  Indiana has several billing districts with different service charges and billing cycles, but they all charge $2.25/1,000.  Municipal rates increased by 2.86% plus ALCOSAN's rate increase. All info was clarified with a phone call (April 2019).  Last year we had a Middle Rd Ext. district and Middle Rd I &amp; II district but the rates are the same for all of Middle Road so we combined the districts.  There is one exception.  About 30 customers in District I now incur a monthly service fee of $15 for a new pump station.  Didn't represent the whole district so it is not included. </t>
  </si>
  <si>
    <t>5/1/24: MTSA manages and bills for Franklin park. MTSA website has rates effective for 1/1/24: Service charge remains $23.75 quarterly but usage charge increased to $8.66/1,000. Includes alcosan fees in structure.
 12/15/23: Went to MTSA website for rates. Rates increased on 1/1/23 to  $23.75 quarterly charge and $8.35/1,000.  Both incl alcosan fees. https://www.mtsaonline.org/index.asp?SEC=D016B45B-53DF-4D44-ADB6-E9D7DC7B9DC9&amp;Type=B_BASIC
5/22: Went to MTSA website for rates. $22.50 quarterly charge and $7.90/1,000.  Both incl alcosan fees. https://www.mtsaonline.org/index.asp?SEC=D016B45B-53DF-4D44-ADB6-E9D7DC7B9DC9&amp;Type=B_BASIC
4/2021: MTSA still maintains FP's sewers and does their billing.  Followed the billing strucure from MTSA site.https://www.mtsaonline.org/index.asp?SEC=D016B45B-53DF-4D44-ADB6-E9D7DC7B9DC9&amp;Type=B_BASIC  Rates listed as  21.25/quarter service fee and $7.55/1,000 gallons which includes alcosan fee.
4/2020: Checked the Franklin Park website and it notes that MTSA does the billing  for Franklin Park. Rates are listed as current for 1/1/2020.  Following the same pattern as 2019 with the assumption that Franklin Park has the same rates as McCandless.
MTSA manages billing for Franklin Park. Chad Alviana confirmed by phone 3/12/19 that all of Franklin Park has the same rates as McCandless.  This represents a 35% Decrease from 2018 for the Bear Run area of Franklin Park and a 23% Decrease for the Lowries Run area of Franklin Park.</t>
  </si>
  <si>
    <t>5/1/24:  MTSA website has rates effective for 1/1/24: Service charge remains $23.75 quarterly but usage charge increased to $8.66/1,000. Includes alcosan fees in structure.
12/15/23: Went to MTSA website for rates. Rates increased on 1/1/23 to  $23.75 quarterly charge and $8.35/1,000.  Both incl alcosan fees. https://www.mtsaonline.org/index.asp?SEC=D016B45B-53DF-4D44-ADB6-E9D7DC7B9DC9&amp;Type=B_BASIC
5/22: Went to MTSA website for rates. $22.50 quarterly charge and $7.90/1,000.  Both incl alcosan fees. https://www.mtsaonline.org/index.asp?SEC=D016B45B-53DF-4D44-ADB6-E9D7DC7B9DC9&amp;Type=B_BASIC
4/6/2021: Checked MTSA website https://www.mtsaonline.org/index.asp?SEC=D016B45B-53DF-4D44-ADB6-E9D7DC7B9DC9&amp;Type=B_BASIC  Rates still say updated 1/1/20 so the structure is still 21.25/quarter service fee and $7.55/1,000 gallons which includes alcosan fee.  Emailed to confirm that there have been no changes for 2021. Mike Pruszenski replied that the rates are current. MikePruszenski@mtsaonline.org
4/2020: Obtained rates (updated 1/1/20) on the MTSA website and used the structure from 2019. (ie. alcosan rates are included in the fee and absorbed by MTSA for those residents serviced by alcosan.)
As per Survey completed by Chad Alviani, the residential rate increased by 4% to $7.40/1,000 (includes $7.94 ALCOSAN rate) Service fee $21.25 quarterly also includes ALCOSAN's $16.69 fee.  MTSA absorbs the loss for those homes that go to ALCOSAN. The other homes are serviced by MTSA treatment plant.   A phone call 3/12/19 with Chad confirmed these details.</t>
  </si>
  <si>
    <t xml:space="preserve">5/1/24 : Eddie Figas provided the 2024 rates in a Jan. 10 email.  The rates remainn $14.50 for a min of 5,000 gallons monthly.  We multiplied by 3 to simulate a quarterly bill.  Flat fee of $1.55 monthly also remained the same.  The usage fee for Millvale increased slightly to 2.10/1,000 but is not reflected on the chart because of the 5,000 gallon minimum fee multitplied three times. Girtys Run usage fee stayed at $6.00/1,000.  We combine these two rates for a total of $8.10/1,000 for anything over the min. 5,000 gallons. (or in this case over the 15,000 in a quarter)
12/27/23: Emailed Eddie for an update.  He sent the rates and a link to their official document for 2023 as well as 2024. Monthly service charge increased by 10 cents to $1.55, and then $14.50 for the first 5,000 gallons.  After that it's $6/1,000 for Girty's run and and $1.95/1,000 for Millvale so we combine those rates (See notes from 2021). Because they bill monthly for a minimum of 5,000 gallons, we use three of the $14.50 charges to simulate a quarterly bill.  Because the $14.50 base rate remained the same, residents' municipal bills only increased 30 cents a quarter with the increase in the service charge.  The per thousand gallon charge went up 5 cents to $1.95/1000 but is not calculated here due to the quarterly formula.
6/23/22: Emailed Eddie for an update. efigas@millvaleboro.com.  Eddie replied and provided a link for the new rates: https://www.millvalepa.com/sites/g/files/vyhlif4711/f/uploads/res._2812_fees.pdf  There is a monthly service charge of $1.45, and then $14.50 for the first 5,000 gallons.  After that it's $6/1,000 for Girty's run and and $1.90/1,000 for Millvale so we combine those rates (See notes from 2021). Because they bill monthly for a minimum of 5,000 gallons, we use three of the $14.50 charges to simulate a quarterly bill. 
4/26/21: Did not hear from Jordan so emailed Eddie Figas, efigas@millvaleboro.com.  He responded quickly with their ordinance, outlining sewer rates for 2021.  The municipal piece did not change; only alcosan's rates increased.  See below for details on the municipal rate.  3/15/21: Requested from Jordan Tax Service.  3/15/21: Requested from Jordan Tax Service. 
5/2020: Jordan Tax Service (Stephanie Conaway sconaway@jordantax.com) provided 2020 rates which increased from 2019:  $7.35 monthly service fee. Includes alcosan so municipal portion is $1.40.  $14.50 for first 5,000 gallons (over the quarter even though it's bill monthly). After first 5,000 gallons, charged $6.00/1,000 by Girty's Run and $10.35/1,000 which includes alcosan.  In the end, Girty's Run gets the $6.00/1,000 and Millvale gets $1.85/1,000 so we rolled these rates together to represent the municipal piece at $7.85/1,000 gallons.
LVM 4/11/19 for Eddie Figas. 4/16/19: Millvale's automated message says to contact Jordan Tax Service regarding sewage billing, so requested Millvale rates from Jordan Tax.  4/16/19: Jordan Tax provided the following rates: monthly service fee of $6.36, which includes alcosan service fee. $13.50 qtr for first 5,000 gallons.  Then $14.19/1,000 for additional usage beyond 5,000.  This includes ALCOSAN rate and also includes a $5/1,000 rate that goes to Girty's Run.  In the end, Millvale, gets 80 cents ($2.40/qtr)  from the service fee and $1.25/1,000 for usage.  Girty's Run gets the $5.00/1,000 usage.  Everything outside of the ALCOSAN rates has been rolled into the "municipal fee" for this survey. </t>
  </si>
  <si>
    <t>5/1/24: found the Neville Township fee schedule online https://nevilletownship.us/wp-content/uploads/2024/01/Resolution-01-02-2024-01.Fee-Schedule.pdf  Rates remained $39/qtr base rate for first 3,000 gallons and $21.75/1,000 over 3,000 gallons.  This structure includes alcosan fees so we had to remove all alcosan fees to isolate the municipal piece so neville is absorbing the increase.
12/27/23: Found the 2023 fee schedule for Neville. https://nevilletownship.us/wp-content/uploads/2023/03/Resolution-03-09-2023-01.Fee-Schedule.pdf It shows the rates reamined the same at $39/qtr base rate for the first 3,000 gallons and $21.75/1,000 after that.  Includes Alcosan rates in the structure.
6/23/22: Emailed Jeanne Creese for an update. Jeanne responded and confirmed that rates have remained the same as 2021 so they have absorbed the alcosan increase. 
4/2021: Emailed Jeanne Creese for an update. jcreese@nevilletownship.us.  She replied that a rate study was done and a new resolution adopted 1/14/21. From her email: “Bills are sent quarterly.  There is a base rate charge of $39.00 for the first 3,000 gallons of usage. Usage over 3,000 gallons is charged at $21.75/1,000 (which again includes ALCOSAN’s per thousand gallon charge as well.)” Municipal rates did increase from $98.35 to 109.20.
4/2020: Emailed Jeanne Creese to see if the rates are the same for 2020. The rates have stayed the same for 2020  although Jeanne indicated that: "We have initiated a rate study and I anticipated a rate increase for July 2020.  Due to the current emergency, that may be delayed until later in 2020 or early 2021."
2019: Voicemal from Jeanne Creese (4/11/19) confirmed that there has been no rate change for 2019. $17.30/1,000 includes ALCOSAN charge of $7.94/1,000. 10.61 quarterly service fee.  Muni absorbs difference from ALCOSAN 16.69 charge.  Therefore, residents see no difference in their overall sewer bill from  2018.</t>
  </si>
  <si>
    <t xml:space="preserve">5/1/24: Found 2024 rates online. https://www.ohiotwp.org/index.asp?SEC=30C4C688-7647-4C18-A86B-1279A6645477  The base charge remained at $62.58/quarter but the usage fee increased to 11.07/1,000.  Includes alcosan fees in the structure.
10/27/23: Found 2023 rates online. https://www.ohiotwp.org/index.asp?SEC=30C4C688-7647-4C18-A86B-1279A6645477  They remained at $62.58/quarter and 10.35/1,000.  Includes alcosan fees in the structure.
5/22: Found info on Ohio Twp website. https://www.ohiotwp.org/index.asp
"On January 1, 2022 all metered OTSA customers will be billed a quarterly sewer base charge of $62.58 and a volume charge of $10.35 / 1,000 gallons of water" They are actually absorbing some of Alcosan's increase. </t>
  </si>
  <si>
    <t xml:space="preserve">5/1/24: Found 2024 sewage rates online: https://reservetwp.com/wp-content/uploads/2024/01/Resolution-771-2024-Water-and-Sewer-Rates-signed.pdf.  The rates increased to $14.27/1,000 gallons.  Includes alcosan's usage ($11.14) fee.  Alcosan's flat service charge  listed separately in the resolution so we did not need to remove it from the $14.27 rate structure. 
12/15/23: https://reservetwp.com/wp-content/uploads/2022/12/Resolution-750-22-Water-Rates-Resolution-2023-signed.pdf  Says as of 1/1/23 rates were raised to 13.21/1,000  with a base rate bill of 4,000 gallons. Additional gallons are charged at the same rate.  The resolution says the rate is INCREASED to $13.21, which is in contrast to rates reported in the past at $15+/1,000
7/2022: Called Lisa and she said the Girty's Run rates went from $15.05/1,000 to $15.85/1,000. 
6/23/22: Couldn't tell from the Reserve website whether Girty's Run rate went up so I emailed Lisa Pisanko clerk@reservetwp.com
5/15:  Called and talked to Lisa Pisanko.  She said the 2021 rates are $11.55/1,000 for Reserve Twp and $15.05 for Girty's Run. 5/10: Tried emailing the Reserve Township manager Donna Kaib manager@reservetwp.com 4/16/2021: A search for the sewage rates brought up a Reserve Twp newsletter that indicates a 7% increase in sewage rates 2021.  That would mean that the rate would increase to $11.55/1,000. and $15.29 for Girty's Run. Emailed Lisa Pisanko to confirm if that is correct.  clerk@reservetwp.com
4/2020: Sent an email to Lisa Pisanko, Water Clerk. She replied with the rates: The new rates for 2020 are Alcosan charges are 10.79/per 1,000 gallons and Girty’s Run are 14.29/per 1,000 gallons (10.79 + 3.50 Girtys charge).  
Phone call with Kim at Reserve (April 2019)  $12.58/1,000 including ALCOSAN rate and also includes a $2.50/1,000 gallon charge that goes to Girty's Run.  There was no where to include Girty's Run piece on the chart, so it is just wrapped into the $4.64 municipal charge. (In reality, the municipality only gets $2.14/1,000 gallons)  $2.00 quarterly service charge. Similarly, this rate increased 7% from $2.00 to $2.14. </t>
  </si>
  <si>
    <t xml:space="preserve">5/1/24: Found 2024 sewage rates online: https://reservetwp.com/wp-content/uploads/2024/01/Resolution-771-2024-Water-and-Sewer-Rates-signed.pdf.  The rates increased to $14.27/1,000 gallons.  Includes alcosan's usage ($11.14) fee.  Alcosan's flat service charge  listed separately in the resolution so we did not need to remove it from the $14.27 rate structure. The only difference for Reserve Girty's Run customers is that they are charged an additional $17.50 flat service charge in addition to all other fees.
12/15/23: https://reservetwp.com/wp-content/uploads/2022/12/Resolution-750-22-Water-Rates-Resolution-2023-signed.pdf  Says as of 1/1/23 rates were raised to 13.21/1,000  with a base rate bill of 4,000 gallons. Additional gallons are charged at the same rate.  The resolution says the rate is INCREASED to $13.21, which is in contrast to rates reported in the past at $15+/1,000.  The only difference between Reserve Township and those who are in Girty's Run is an additional $16 quarterly service charge for Girty's Run area. </t>
  </si>
  <si>
    <t>5/1/24: Found rates online https://www.ross.pa.us/379/Sewer-User-Fees.  $1.50 monthly service charge stayed the same but the usage rate increased to $4.82/1,000 gallons.  alcosan fees are charged separately. 
12/15/23: Found rates online https://www.ross.pa.us/379/Sewer-User-Fees.  Shows rates stayed the same in 2023 with $1.50 monthly service charge and 4.50/1,000 gallons usage charge.  In 2024, the per thousand charge will increase to $4.82/1,000.
5/22: Found sewage rates on ross township website for 2022. https://www.ross.pa.us/379/Sewer-User-Fees
Bill monthly.  $1.50/service charge and $4.50/1,000 gallons  Alcosan fees are separate. Ross Rates remain the same.
4/2021: Searched for Ross Township rates and found the updated rates for 2021 on their website: https://ecode360.com/31081791 Bill monthly.  $1.50/service charge and $4.50/1,000 gallons  Alcosan fees are separate. Only alcosan fees have increased.
4/2020: Emailed Ron Borczyk, Ross Manager for an update. Jessica Crawshaw responded by attaching their ordinance with the 2020 rates.  4.50 quarterly service charge and 4.50/1,000 usage. Alcosan charges are separate.
2019: Survey completed  Doug Sample (March 2019). Rates stayed the same.  Only the ALCOSAN increase.</t>
  </si>
  <si>
    <t xml:space="preserve">Ross </t>
  </si>
  <si>
    <t xml:space="preserve">5/1/245/2/24: Found the rates online. https://www.shaler.org/212/Sanitary-Sewer-Rates. Service charge remained  $7.25 bimonthly so we use $3.62 to represent the monthly cost.  Per thousand rate remained  $3.00/1,000  Alcosan rates are charged separately. 
12/15/23: Found the rates online. https://www.shaler.org/212/Sanitary-Sewer-Rates#:~:text=Shaler%20Sewer%20Charge,of%20%243.25%20per%201%2C000%20gallons. Service charge increased to $7.25 bimonthly so we use $3.62 to represent the monthly cost.  Per thousand rate increased to $3.00  Alcosan rates are charged separately. 
6/24/22: Emailed Tim Rogers. Judy Kording got back to me to say that rates remain the same in 2022. $2.50/1,000  
5/22: Used my own sewage bill to calculate the rates as the website does not seem to be updated. $9 service fee monthly and $2.50/1,000 gallons usage. 
3/29/21: Found the Shaler rates published on their website.  They remain the same as 2020. $6.32/bimonthly service fee and $2/1,000 gallons.  Alcosan increase was also published on their site. https://www.shaler.org/212/Sanitary-Sewer-Rates
4/2020:  Shaler website published 2020 rates.  Remained the same at $6.32 flat service fee bimonthly and $2.00/1,000 gallon usage. ALCOSAN fees are separate.  To represent the quarterly bill, we took the flat service fee, divided by 2 and multiplied by 3. 
2019: Survey completed by Judith Kording (March 2019). $6.32 flat service charge every two months. No rate increase other than ALCOSAN. 
3/29/2021: Shaler published rates for Girty's Run.  They remain the same as 2020.  No flat fee.  They charge $3.50/1,000 for a minimum usage bill of 3,000 gallons bimonthly. https://www.shaler.org/212/Sanitary-Sewer-Rates are $3.50/1,000 for everything over 3,000 gallons.
4/2020: Shaler Township's website published the 2020 rates.  Girty's Run rates have increased slightly.  They are charged $3.50/1,000 with a minimum of 3,000 gallons bimonthly. ($10.50 vs $8.50 in 2019) We mulitiplied this fee by 3 for the gallons, divided it by 2 and mulitiplied by 3 to represent a quarterly bill. Anything over the 3,000 gallons is charged at $3.50/1,000 gallons vs $2.50/1,000 in 2019.  Alcosan fees are separate. 
2019: Survey completed by Judith Kording (March 2019). $8.50 flat service charge every two months for a minimum usage of 3,000 gallons. No rate increase other than ALCOSAN. Base minimum rate was multiplied by 1.5 to represent the third month in the quarter. </t>
  </si>
  <si>
    <t xml:space="preserve">5/1/24:: Found the rates online. https://www.shaler.org/212/Sanitary-Sewer-Rates. No  Service charge was listed for for Girtys Run  Per thousand rate remains  $3.50/1,000 with a min. of 3,000 gallon base rate bimonthly, but the rate doesn't change after the 3,000 base minimun so we just used the $3.50 and multiplied by 12 to standardize the cost. 
12/15/23: Found the rates online. https://www.shaler.org/212/Sanitary-Sewer-Rates#:~:text=Shaler%20Sewer%20Charge,of%20%243.25%20per%201%2C000%20gallons. Service charge for Girtys Run is listed as $3.50 bimonthly so we use $1.75 to represent the monthly cost and multiplied by 3 for a quarter.  Per thousand rate is $3.50/1,000 with a min. of 3,000 gallon base rate bimonthly, but the rate doesn't change after the 3,000 base minimun so we just used the $3.50 and multiplied by 12 to standardize the cost. </t>
  </si>
  <si>
    <t>5/1/24: Rates posted online https://sharpsburgborough.com/water-sewer/  They remain the same at $2.67 flat service fee bimonthly (which becomes $1.34 monthly) and $7.25/1,000 usage.  Alcosan fees are charged separately. 
12/14/23: Emailed Jessica Donahue.  She confirmed the Sharpsburg's website has the correct info, which means that the rate structure has changed and alcosan fee are charged separately .  $7.25 per 1,000 gallons   Confirmed this change by talking to the borough manager.  She confirmed the change as well. 
6/23/22: Emailed Jessica Donahue for an update. She replied that the rates did go up to $35 for the first 3,000 gallons bimonthly and then 11.95/1,000 after that. 
3/29/21: emailed Kim Frollini.  She replied with $34.07 flat fee bimonthly for first 3,000 gallons.  Includes alcosan fees.  Then 11.30/1,000 gallons over 3,000  She also noted that in the future we should contact: Jessica Donahue at Jessica.Donahue@hswa-pa.org  Kim is in a new position and doesn't deal with the sewage rates anymore.
4/2020: Emailed Kim Frollini at Hampton Shaler Water Authority to check on Sharpsburg's rates. She shared that Sharpsburg's rates are $33.24 for a minimum usage of 2,000 gallons bimonthly.  This amount includes ALCOSAN's service fee and per thousand rate of $8.50. After the minimum usage of 2,000, the rate is 
$10.70 per 1,000 gallons, which includes Alcosan also. Since the bill is bimonthly,  to translate these fees into a quarterly, bill the base rate of 33.24 was multiplied by 1.5 and then ALCOSAN fees removed. The minimum usage was changed to reflect a quarterly bill also-(2,000*1.5) The 9,000 additional gallons were calculated using the $10.70/1,000 minus ALCOSAN charge.
2019: Survey completed by Barb Ruhie.  Sharpsburg bills every two months.  It provided conflicting information so the rates were confirmed with a call to Hampton Water/Sewer Authority (4/17/19) who does the billing Flat rate increased from $31.74 to $32.46/2,000 gallons and $9.10/1,000 after that (includes ALCOSAN fees).  Barb said municipal rates increased .94% from 2018, but the overall municipal part of rate went down for the customer because the ALCOSAN fees are rolled into it.(Note: Because of the bimonthly billing cycle, to translate these fees into a quarterly, bill the base rate of 32.46 was multiplied by 1.5 and then ALCOSAN fees removed. The 10,000 additional gallons were calculated using the $9.10/1,000 minus ALCOSAN charge.</t>
  </si>
  <si>
    <t>5/1/24: Michele Garvey confirmed in a Jan 5 email that rates remain the same for 2024. 
12/27/23: Emailed Michele Garvey for an update. She replied that rates remained the same throughout 2023 and will not change in 2024.$13.15/monthly service charge and $3.99/1,000 plus alcosan charges.
6/23/22: Emailed Michele Garvey for an update. She replied that there have not been any conversations about a rate increase so they remain the same. 
4/16/2021:  Emailed Michele Garvey, Office Manager, West View Water Authority, for an update. mgarvey@westviewwater.org  Michele replied that their rates have stayed the same.  Only alcosan rates have changed. They bill monthly. 
4/2020: Emailed Michele Garvey, Office Manager, West View Water Authority, for an update. mgarvey@westviewwater.org  She replied that only ALCOSAN rates have changed.  West View's rates stayed the same at $3.99/1,000 gallons and $13.15/monthly service charge.
2019: Survey completed by Michele Garvey (April 2019).  Rates did not change from 2018.  Bill monthly.  $3.99/1,000 gallons and $13.15/monthly service charge.</t>
  </si>
  <si>
    <t>5/6/24: Emailed manager again. 4/26/24:  Braddock changes their rates in July of each year, so I emailed Lou Ransom to see if they know what the rates will be in July 2024.
12/14/23: Called Diversified.  No answer. 12/27: Called Diversified again and got Nina who was extremely helpful.  She said Braddock just provides them with actual rate info so she doesn't know about the .35% multiplier so I just changed the 2023 rate to what I know is accurate and actually being billed. $6.69/qtrly service fee and $3.19/1,000 gallons.  She said their rate increases occur in July every year, so July 2024 will be the next increase.  Nina also mentioned that Lou Ransom Jr. is the new manager and he seems like he will be very responsive.
6/22:  Called Diversified who does their billing.  1-877-330-1699. They verified rates remain the same as 2021 including alcosan's rates, so they are outdated. 3/31/22: Left message for Renee.
5/12/21:  Called Braddock Borough and talked to Renee the clerk in the sewage dept.  She really seemed confused and totally unaware of the sewage charges. I explained what we knew about their rate in 2020 and she said she doesn't THINK it changed but I was unable to confirm that for sure.  Under the assumption that rates do NOT typically go down, we used the 35% of alcosan's rates as the formula for 2021. 
 5/10/21: Tried a different email for Deborah braddockmanager@comcast.net  4/16/21: Emailed Deborah again. 3/1/21: Emailed Deborah Brown. lynnbrown2010@gmail.com
3/25/20: Email confirmation from Deborah Brown that rates have remained the same for 2020. They charge 35% of ALCOSAN's fees as their municipal fee so the rate has gone up a little over $2 as ALCOSAN's rate increased..</t>
  </si>
  <si>
    <t>April 26, 2024: Emailed Steve for an update. Steve replied that he expects the rates to increase in 2024, perhaps in next few months.  He is retiring and Seth Abrams will be taking over.  Will need to check back. 
12/14/23: Emailed Steve for an update. Steve confirmed that rates stayed at $4.75/1,000.  He thought they might increase the rates in early 2024.
3/31/22: Emailed Steve Morus. 3/11/21: I emailed Steve Morus and he confirmed that the rates remained $4.75/1,000 for 2021. Alcosan rates are in addition to that. Steve confirmed rates are the same in 2022.
3/31/2020: Steve Morus confirmed that the rates stayed at $4.75/1,000 for 2020 via an email.
Per survey from Steve Morus (Feb. 2019), the municipal sewer rates of $4.75/1,000 gal did not increase.  The overall total bill only increased by ALCOSAN's increase of $7.85</t>
  </si>
  <si>
    <t>4/26/24: Found 2024 rates online: https://www.plumboroughma.com/sites/g/files/vyhlif1081/f/uploads/pbmacustomerbilling2024.pdf  The rates increased a bit in 2024  $36.50/for the first 250 cubic feet (1,870 gallons) and $5.50 for every 100 cubic feet (748 gallons) over.  We calculated the rates based on conversion to gallons. (1 cf = 7.48 gallons) so $5.50/100 cf becomes $7.35/1,000 gallons and we removed alcosan's fees from the total.  Plum is absorbing a small portion of the alcosan fees (under $1)
12/14/23: Found 2023 rates online: https://www.plumboroughma.com/sites/g/files/vyhlif1081/f/uploads/pbmacustomerbilling2023.pdf  The rates remained the same in 2023.  $34/for the first 250 cubic feet and $4.20 for every 1000  cubic feet over.  We calculated the rates based on conversion to gallons. (1 cf = 7.48052 gallons)
4/12/22: Emailed Howard Theis as I did not find any new rates online.  Want to confirm that the rates remain the same as those approved in Dec. 2020 htheis@plumboroughma.com 
3/11/2021: Found updated rates on Plum's website. Effective Dec. 2020. Rates are $34 min charge monthly for 1,870 gallons and $5.61/1,000 after that.  Includes alcosan fees so we subtracted the alcosan fees to determine municipal piece.  Howard confirmed that their rates have remained the same. Since alcosan fees are built into the structure, that means Plum is absorbing the alcosan increase for its customers.
4/2/20: Howard confirmed via email that Plum Boro's rates have stayed the same. Alcosan's fees are included so we subtracted them from the total in the municipal section of the fees.  He confirmed that the rates remain the same so they are absorbing alcosan's increase.
Survey from Howard Theis (Feb. 2019) Rates increased in June 2019 so the increase is not reflected in our 2018 survey.  $32.20 for 250 cu ft (minimum) equivalent to 1,870 gallons. 4.20 per 100 cu. Ft  after that, which translates into 5.61/1,000 gallons rate. Bill monthly so the base rate was used three times in the calculation. Plum's fees include ALCOSAN  charges so we subracted the total quarterly ALCOSAN fees of $119.91 from the final total quarterly bill.</t>
  </si>
  <si>
    <t xml:space="preserve">5/1/24: Emailed Dawn to confirm if rates remained the same for 2024. 5/6/24:  No response so I called the borough. Received confirmation that Aspinwall's rate remain $2.50/1,000 gallons for 2024.
12/15/23: emailed dawn@boroughofaspinwall.com for an update. Dawn replied that the rates remain $2.50/1,000 in 2023.
5/6/22: Emailed Dawn Eastley for an update. Dawn replied that they stayed the same for 2022.
3/26/21: Emailed Dawn Eastley Dawn@boroughofaspinwall.com.  Dawn confirmed that the rates stayed the same. $2.50/1,000 gallons.  Alcosan separate.  All billed quarterly as part of the residents' water bills.
4/2020:  Emailed Dawn for an update and she verfied that Aspinwall's 2020 rates remain the same as 2019. 
2019: Spoke by phone with Dawn Eastley, Assistant borough manager, (April 2019).  Aspinwall's rates increased in mid-2018 after our rate study was published last year. 44% increase from $1.73/1,000 to $2.50/1,000 gallons.  ALCOSAN bills Aspinall customers directly through a separate bill. Aspinwall bills for sewage via their water bill.  Overall rate is $9.98/1,000 with $2.50 going toward sewage.
</t>
  </si>
  <si>
    <t>Homestead</t>
  </si>
  <si>
    <t>5/6/24: Jordan Tax confirmed by phone that rates remain 38 cents monthly fee and  $4/1,000 gallons usage.
12/27/23: Talked to Jordan tax. The rates remained at 38 cents monthly fee and  $4/1,000 gallons usage.
7/18/22: Called Jordan Tax Serivce.  They confimred the rates have remained .38 cents a month and $4.00/1,000 plus alcosan's fees. 5/4/22: Emailed Debbie Stecko for an update. dstecko@ingramborough.org 
6/23/22: emailed Debbie again.
4/21/21: Requested multiple times from Jordan Tax service with no response, so emailed Deborah Stecko dstecko@ingramborough.org . Deborah responded that Ingram updated their rates with Jordan Tax.  .37 monthly service fee and $4.00/1,000 usage fee.  Alcosan fees are updated to 2021 rates so Ingram is no longer absorbing the increase.  3/15/21: Requested from Jordan Tax Service. 
5/2020:  Jordan Tax Service (Stephanie Conaway sconaway@jordantax.com) indicated that Ingram has not yet updated their fees with Jordan so they are charging customers the 2018 rates (including Alcosan's 2018 rates of $5.20 service fee monthly and 7.42/1,000 gallons).  To accurately represent Ingram's municipal rates for this survey, we calculated a total bill for an Ingram customer (using Ingram's current billing structure/rates with Jordan $4.00/1,000 and .38 monthly service fee) and then changed the municipal portion of the rate to reflect that they are absorbing the alcosan increase for their customers.  $5.58 monthly service fee and 11.72/1,000 for usage.  
According to JORDAN TAX SERVICE (4/16/19), no ordinance has been passed in Ingram to change the rates so they will continue billing as they have in 2018. For the purposes of the study, we have kept the rates the same as well.  The only increase would be ALCOSAN's increase.</t>
  </si>
  <si>
    <t>5/6/24:  Jordan Tax Service by phone said that Rosslyn Farms rate increased to $17.64/1,000 gallons.
12/14/23: Found the minutes from Dec. 2022.  They indicated that the alcoan's increased charges will be passed on to residents, but no other mention of increased rates, so the Rosslyn Farms rate would remain $6/1,000 (which means their overall rate is $16.41/1,000 which includes alcosan fee) 
5/5: Found Dec. 2021 minutes again. It noted that alcosan's increase would be commmunicated with Jordan Tax who does their billing so the cost would be passed on to customers.  No mention of any other increase, so the municipal portion would remain the same at $6.00/1,000.  Total rate (which includes alcosan's $9.73/1,000 rate) would increase to $15.73/1,000. 
12/27/23: Talked to Jordan Tax. No flat fee and per thousand rate increased to $16.41.  Includes alcosan per thousand rate.
 5/15: Tried calling the borough and didn't get an answer so did more digging on the website.  Found minutes from the December budget meeting that noted alcosan's 7% increase and it noted that Rosslyn Farms rate remains the same ($6.00/1,000; no service fee) That means their overall rate (which includes alcosan fees would change to $15.10 to accommodate alcosan's 7% increase. 
5/10/21: Requested from Jordan several times with no response, so emailed Dorothy Falk rosslynfarms.secretary@gmail.com 3/15/21: Requested from Jordan Tax Service. 
04/2020: Found an update from Dec. 2019 council meeting on Rosslyn Farms website that mentioned alcosan's increase being passed on to residents.  Want to double check with Jordan Tax Service that the municipal portion remains only $6/1,000 gallons.  5/2020: Jordan Tax Service (Stephanie Conaway sconaway@jordantax.com) provided 2020 rates: No monthly municipal service fee and $14.50/1,000 for usage.  Includes alcosan fee and only increased by alcosan's increase so the municipal portion remains $6.00/1,000.
2019 rates were obtained from JORDAN TAX SERVICE (4/16/19).  Municipal rates are same as 2018.  $13.94/1,000, which includes ALCOSAN usage rate.  The municipal usage fee remains at $6.00/1,000.  Overall bill only increased by ALCOSAN's increase.</t>
  </si>
  <si>
    <t xml:space="preserve">5/6/24: Jordan Tax confirmed rates remain the same in 2024: $22.31/quarterly fee and $13.69/1,000 gallons usage
12/28/23:  Called Jordan Tax Service and they shared that the 2023 rates for Ben Avon Heights were $22.31/quarterly fee and $13.69/1,000 gallons usage. 12/27: Emailed again. Someone from the borough emailed back but they kept sending resolutions that only included alcosan rates and their increases. 12/15/23: Eamiled bahb.secretary@gmail.com 
5/6/22: Emailed benavonheightsborough6@gmail.com to check. bahb.secretary@gmail.com replied that only alcosan's increase was passed on to consumers so the municipal portion remains the same.  The service fee is now $19.61 and the usage is $12.39/1,000 including alcosan fees.
4/21/21: Emailed Jordan Tax Service several times with no response so emailed mgr/sec (no name listed on website) benavonheightsborough6@gmail.com   The secretary (no name) responded and said that Ben Avon Heights did not increase their rates for 2021, $11.76/1,000 gallons and $18.27 quarterly service fee which means they are absorbing Alcosan's rate increase.  3/15/21: Requested from Jordan Tax Service. 
5/2020: Jordan Tax Service (Stephanie Conaway sconaway@jordantax.com) provided 2020 rates:
$11.76/1,000 gallons and $18.27 quarterly service fee.  Both figures include Alcosan rates. The municipal portion of the rates actually decreased from 2019.
As of 4/16/19: no rate change has been reported for 2019 to Jordan Tax Service who does the billing. </t>
  </si>
  <si>
    <t xml:space="preserve">5/6/24: Jordan Tax confirmed rates remain the same in 2024: $2.00/quarter and $4.00/1,000 gallons usage plus alcosan fees.
12/27/23: Called Jordan Tax Service. They confirmed that Kilbuck's portion of the rate remains $2.00/quarter and $4.00/1,000 gallons usage plus alcosan fees.
7/18/22: Called Jordan Tax Service. They confirmed that Kilbuck's portion of the rate remains $2.00/quarter and $4.00/1,000 gallons usage plus alcosan fees.
5/17: Called Jordan Tax Service.  They provided updated rates: $21.11 quarterly and $13.10/1,000 gallons.  These rates include alcosan fees. The municipal portion has increased slightly. 5/10: Emailed Harry again. He said he would get back to me when he was back in the office, but never did. 4/26/21: Emailed Jordan several times with no response so emailed Harry Dilmore harry@kilbucktownship.org.  3/15/21: Requested from Jordan Tax Service. 
5/2020: Jordan Tax Service (Stephanie Conaway sconaway@jordantax.com) indicated that Kilbuck has not yet updated their fees with Jordan so they are charging customers the 2019 rates (including Alcosan's 2019 rates of $16.69 quarterly service fee and $7.94/1,000).  To accurately represent their rates for this survey, we calculated a total bill for a Kilbuck customer (using Kilbuck's current structure/rate with Jordan) and then changed the municipal portion of the rate to reflect that they are absorbing the alcosan increase for their customers.  
$18.69 quarterly fee and $11.94/1,000 gallons usage.  Both include ALCOSAN fees so municipality absorbed alcosan's increase??
2019 rates confirmed with Jordan Tax Service who does the billing.  $18.69 quarterly fee and $11.94/1,000 gallons usage.  Both include ALCOSAN fees.  Rates only went up by ALCOSAN's increase. </t>
  </si>
  <si>
    <t>5/6/24: Called Berkheimer 866-309-6939.  They confirmed that the rates remain $1/qtr and $4.82/1,000 gallons, but also noted that the first qtr 2024 billing has not gone out yet to McKees Rocks residents, so the borough could still make changes to the 2024 rate thatshe is not aware of yet.
12/13/23: Called Berkheimer. $1.00 service charge remained the same.  The per thousand gallon rate increased  to $4.82.
5/3/22: At the direction of McKees Rocks, called Berkheimer who does their billing 866-309-6939 .  Rate stayed the same at $1 quarterly and $4.32/1,000.
6/21: Emailed Ruth Pompey, manager of McKees Rocks through the borough website to email addresses were provided).  Ruth responded that the rates remain the same at $1 quarterly and $4.32/1,000
04/2020: Emailed the borough office (generic email found on McKees Rocks website) to get an update.  adminassistant@mckeesrocks.pa.us.  
Resent email on 5/18. LeeAnn Wozniak, Assistant Borough Secretary, replied and said we should contact Berkheimer once again. "Please call 866-309-6939 to confirm current rates" 5/2020: Spoke with a Berkheimer rep, James Hunt (jhunt@hab-inc.com).  McKees Rocks fees have remained the same for 2020.  The quarterly municipal fee remained at $1.00 and $4.32/1,000 usage rate.  Alcosan fees are broken out separately on their bills.  Only alcosan fees have increased.  
2019: Phone call with McKees Rocks.  Recommended I call Berkheimer, their billing agent (866-309-6939).  They were helpful but only had 2018 rates of $1/quarterly service charge and $4.32/1,000 gallons. ALCOSAN is broken out on the quarterly bills.  A call back to McKees Rocks confirmed that 2019 municipal rates are the same.</t>
  </si>
  <si>
    <t xml:space="preserve">4/29/24: From email communication in Dec. 2023, Mel Weinstein indicated rates are increasing to $13.48/1,000 in 2024 "due to alcosan's increase." Customers are charged for a minimum of 7,000 gallons, which is 94.36.  This structure includes alcosan so we removed those fees to get municipal rate. 
12/13/23: Emailed Mel Weinstein for an update. He replied that the rates increased to $12.78/1,000 gallons with a base rate of 7,000/qtr ($89.46). This structure includes alcosan's per thousand rate so we removed that from the total.)  Rates are increasing to $13.67/1,000 in 2024 due to alcosan's increase.
5/4/22: Emailed Mel Weinstein for an update.mweinstein39@kennedytwp.com.  He replied that rates did increase due to alcosan's increase.  $82.58 per quarter for first 7,000 gallons. And $11.94/1,000 for anything over 7,000.  Alcosan rates are built into the fee structure. 
5/10: Emailed again. Mel responded that rates have increased to $78.12 /quarter for 1-7,000 gallons. Beyond 7,000 gallons the usage is $11.16/thousand gallons. 4/26/21: Emailed Jordan Tax Service several times with no response so emailed Mel Weinstein, Interim Manager. mweinstein39@kennedytwp.com 
3/15/21: Requested from Jordan Tax Service. 
04/2020:  Could only find info on Kennedy website for 2019.  Will get in touch with Jordan tax service. 5/2020: Jordan Tax Service (Stephanie Conaway sconaway@jordantax.com) provided 2020 rates: No quarterly muncipal service fee.  Charged $73.01 for 1-7,000 gallons and then $10.43/1,000 gallons after that. Alcosan fees are included in those rates.
2019: Data on 2019 sewer rates obtained online. (April 2019) http://www.kennedytwp.com/sewer-department/  Increased from $9.10/1,000 in 2018 to $9.75/1,000.  Includes ALCOSAN fees.  </t>
  </si>
  <si>
    <t xml:space="preserve">5/6/24: Jordan said the heatlh and safety fee is $10.  $14.80 flat monthly fee remained the same and the usage fee increased to $12/1,000 gallons.4/29/24:  Need to contact Jordan Tax for update on rates. 
12/27/23: Talked to Jordan tax service.  Homestead's fee structure changed significantly.  They charge more in flat fees like a $8.50/mo per toilet in the house for health and safety fee.  And then a $14.80/mo flat fee (includes alcosan fee) and then $10.69/1,000 which also includes alcosan. We incorporated one $8.50 fee because we can only assume one toilet. Jordan Tax indicated that the per thousand rate at the beginning of 2023 was $13.99/1,000 
12/13/23: Emailed Vanessa for an update. 12/27: Emailed Vanessa again.
05/3/22: Couldn't find the rates on Homestead website.  Link from last year doesn't work.  Emailed Vanessa to get an update. She emailed back that the monthly service charge remains $9.67 but the per 1,000 rate has increased to $13.31. 
03/16/21: Emailed Vickie Pelkey. came back with an error so I emailed manager @homesteadborough.com instead. Vanessa McCarthy-Johnson.  She indicated the rates on their website under fee schedule. http://www.homesteadborough.com/government/administration/downloads/forms-permits-applications/fee-schedule.pdf  Their monthly service fee remains at $9.67 and their usage fee increased to $12.44/1,000.  Includes alcosan fees.
04/2020: Sent an email to Lauren Zang, Borough Manager, for an update. manager@homesteadborough.com.  REsent email on 5/18.  Vickie Pelkey, Administrative assistant, vpelkey@homesteadborough.com responded with their updated rates: The monthly service fee is $9.67 and 11.63/1,000.  Both include alcosan fees. 
2019: Phone call with Lauren Zang, Borough Manager (April 2019) confirmed that Homestead rates remained the same even though ALCOSAN charges increased.  Homestead just absorbs the increase. $9.27 monthly service charge and $10.87/1,000 gallons both of which include ALCOSAN fees. </t>
  </si>
  <si>
    <t>Aspinwall</t>
  </si>
  <si>
    <t>Ben Avon</t>
  </si>
  <si>
    <t>Emsworth</t>
  </si>
  <si>
    <t>Fox Chapel</t>
  </si>
  <si>
    <t>Indiana - 
Fairview</t>
  </si>
  <si>
    <t>Indiana - 
Middle Rd. I &amp; II</t>
  </si>
  <si>
    <t>Indiana - 
Ottawa</t>
  </si>
  <si>
    <t>Kilbuck</t>
  </si>
  <si>
    <t>Neville</t>
  </si>
  <si>
    <t>Ohio Township</t>
  </si>
  <si>
    <t>West View</t>
  </si>
  <si>
    <t>Baldwin Borough</t>
  </si>
  <si>
    <t>Baldwin Township</t>
  </si>
  <si>
    <t>Bethel Park</t>
  </si>
  <si>
    <t>Brentwood</t>
  </si>
  <si>
    <t>Bridgeville</t>
  </si>
  <si>
    <t>Castle Shannon</t>
  </si>
  <si>
    <t>Dormont</t>
  </si>
  <si>
    <t>Heidelberg</t>
  </si>
  <si>
    <t>Ingram</t>
  </si>
  <si>
    <t>McKees Rocks</t>
  </si>
  <si>
    <t>Mt. Lebanon</t>
  </si>
  <si>
    <t>Mt. Oliver</t>
  </si>
  <si>
    <t>Munhall</t>
  </si>
  <si>
    <t>North Fayette</t>
  </si>
  <si>
    <t>Oakdale</t>
  </si>
  <si>
    <t>Peters Township</t>
  </si>
  <si>
    <t>Scott</t>
  </si>
  <si>
    <t>Stowe</t>
  </si>
  <si>
    <t>Thornburg</t>
  </si>
  <si>
    <t>West Mifflin</t>
  </si>
  <si>
    <t>Whitaker</t>
  </si>
  <si>
    <t>Braddock Hills</t>
  </si>
  <si>
    <t>Chalfant</t>
  </si>
  <si>
    <t>Churchill</t>
  </si>
  <si>
    <t>East McKeesport</t>
  </si>
  <si>
    <t>Edgewood</t>
  </si>
  <si>
    <t>Forest Hills</t>
  </si>
  <si>
    <t>Monroeville</t>
  </si>
  <si>
    <t>North Braddock</t>
  </si>
  <si>
    <t>Pitcairn</t>
  </si>
  <si>
    <t>Swissvale</t>
  </si>
  <si>
    <t>Trafford</t>
  </si>
  <si>
    <t>Wilkins</t>
  </si>
  <si>
    <t>Wilkinsburg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</si>
</sst>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164" formatCode="&quot;$&quot;#,##0.00"/>
  </numFmts>
  <fonts count="20" x14ac:knownFonts="1">
    <font>
      <sz val="11"/>
      <color theme="1"/>
      <name val="Calibri"/>
      <family val="2"/>
      <scheme val="minor"/>
    </font>
    <font>
      <b/>
      <sz val="10"/>
      <name val="Calibri"/>
      <family val="2"/>
      <scheme val="minor"/>
    </font>
    <font>
      <sz val="10"/>
      <name val="Calibri"/>
      <family val="2"/>
      <scheme val="minor"/>
    </font>
    <font>
      <b/>
      <sz val="11"/>
      <name val="Arial"/>
      <family val="2"/>
    </font>
    <font>
      <sz val="11"/>
      <name val="Calibri"/>
      <family val="2"/>
      <scheme val="minor"/>
    </font>
    <font>
      <b/>
      <sz val="11"/>
      <name val="Calibri"/>
      <family val="2"/>
      <scheme val="minor"/>
    </font>
    <font>
      <sz val="9"/>
      <name val="Calibri"/>
      <family val="2"/>
      <scheme val="minor"/>
    </font>
    <font>
      <b/>
      <sz val="14"/>
      <name val="Calibri"/>
      <family val="2"/>
      <scheme val="minor"/>
    </font>
    <font>
      <b/>
      <sz val="12"/>
      <color theme="3"/>
      <name val="Calibri"/>
      <family val="2"/>
      <scheme val="minor"/>
    </font>
    <font>
      <sz val="9"/>
      <color theme="1"/>
      <name val="Calibri"/>
      <family val="2"/>
      <scheme val="minor"/>
    </font>
    <font>
      <sz val="11"/>
      <color theme="1"/>
      <name val="Calibri"/>
      <family val="2"/>
      <scheme val="minor"/>
    </font>
    <font>
      <sz val="9"/>
      <name val="Calibri"/>
      <family val="2"/>
    </font>
    <font>
      <b/>
      <sz val="9"/>
      <name val="Calibri"/>
      <family val="2"/>
      <scheme val="minor"/>
    </font>
    <font>
      <sz val="9"/>
      <color rgb="FFFF0000"/>
      <name val="Calibri"/>
      <family val="2"/>
      <scheme val="minor"/>
    </font>
    <font>
      <b/>
      <sz val="12"/>
      <color theme="6" tint="-0.249977111117893"/>
      <name val="Calibri"/>
      <family val="2"/>
      <scheme val="minor"/>
    </font>
    <font>
      <b/>
      <sz val="12"/>
      <color theme="4" tint="-0.249977111117893"/>
      <name val="Calibri"/>
      <family val="2"/>
      <scheme val="minor"/>
    </font>
    <font>
      <b/>
      <sz val="12"/>
      <color theme="9" tint="-0.249977111117893"/>
      <name val="Calibri"/>
      <family val="2"/>
      <scheme val="minor"/>
    </font>
    <font>
      <sz val="11"/>
      <color rgb="FFFF0000"/>
      <name val="Calibri"/>
      <family val="2"/>
      <scheme val="minor"/>
    </font>
    <font>
      <sz val="9"/>
      <color rgb="FFFF0000"/>
      <name val="Calibri"/>
      <family val="2"/>
    </font>
    <font>
      <u/>
      <sz val="9"/>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xf numFmtId="44" fontId="10" fillId="0" borderId="0" applyFont="0" applyFill="0" applyBorder="0" applyAlignment="0" applyProtection="0"/>
  </cellStyleXfs>
  <cellXfs count="130">
    <xf numFmtId="0" fontId="0" fillId="0" borderId="0" xfId="0"/>
    <xf numFmtId="0" fontId="1" fillId="0" borderId="0" xfId="0" applyFont="1"/>
    <xf numFmtId="0" fontId="2" fillId="0" borderId="0" xfId="0" applyFont="1" applyAlignment="1">
      <alignment horizontal="left" wrapText="1"/>
    </xf>
    <xf numFmtId="0" fontId="3" fillId="0" borderId="0" xfId="0" applyFont="1"/>
    <xf numFmtId="0" fontId="4" fillId="0" borderId="0" xfId="0" applyFont="1"/>
    <xf numFmtId="0" fontId="4" fillId="0" borderId="0" xfId="0" applyFont="1" applyAlignment="1">
      <alignment horizontal="center" wrapText="1"/>
    </xf>
    <xf numFmtId="0" fontId="4" fillId="0" borderId="0" xfId="0" applyFont="1" applyAlignment="1">
      <alignment horizontal="left" wrapText="1"/>
    </xf>
    <xf numFmtId="0" fontId="7" fillId="0" borderId="0" xfId="0" applyFont="1"/>
    <xf numFmtId="0" fontId="8" fillId="0" borderId="0" xfId="0" applyFont="1"/>
    <xf numFmtId="0" fontId="5" fillId="0" borderId="0" xfId="0" applyFont="1"/>
    <xf numFmtId="164" fontId="4" fillId="0" borderId="0" xfId="0" applyNumberFormat="1" applyFont="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0" fontId="4" fillId="2" borderId="0" xfId="0" applyFont="1" applyFill="1"/>
    <xf numFmtId="0" fontId="0" fillId="2" borderId="0" xfId="0" applyFill="1"/>
    <xf numFmtId="0" fontId="4" fillId="0" borderId="7" xfId="0" applyFont="1" applyBorder="1" applyAlignment="1">
      <alignment horizontal="left" vertical="top"/>
    </xf>
    <xf numFmtId="0" fontId="4" fillId="0" borderId="1" xfId="0" applyFont="1" applyBorder="1" applyAlignment="1">
      <alignment vertical="top" wrapText="1"/>
    </xf>
    <xf numFmtId="0" fontId="6" fillId="0" borderId="3" xfId="0" applyFont="1" applyBorder="1" applyAlignment="1">
      <alignment vertical="top" wrapText="1"/>
    </xf>
    <xf numFmtId="44" fontId="4" fillId="0" borderId="0" xfId="1" applyFont="1" applyFill="1"/>
    <xf numFmtId="0" fontId="4" fillId="0" borderId="0" xfId="0" applyFont="1" applyAlignment="1">
      <alignment vertical="top"/>
    </xf>
    <xf numFmtId="49" fontId="11" fillId="0" borderId="0" xfId="0" applyNumberFormat="1" applyFont="1" applyAlignment="1">
      <alignment horizontal="left" vertical="top" wrapText="1"/>
    </xf>
    <xf numFmtId="49" fontId="11" fillId="0" borderId="1" xfId="0" applyNumberFormat="1" applyFont="1" applyBorder="1" applyAlignment="1">
      <alignment vertical="top" wrapText="1"/>
    </xf>
    <xf numFmtId="0" fontId="11" fillId="0" borderId="3" xfId="0" applyFont="1" applyBorder="1" applyAlignment="1">
      <alignment vertical="top" wrapText="1"/>
    </xf>
    <xf numFmtId="0" fontId="2" fillId="0" borderId="0" xfId="0" applyFont="1" applyAlignment="1">
      <alignment horizontal="left" vertical="top" wrapText="1"/>
    </xf>
    <xf numFmtId="0" fontId="4" fillId="0" borderId="8" xfId="0" applyFont="1" applyBorder="1" applyAlignment="1">
      <alignment vertical="top" wrapText="1"/>
    </xf>
    <xf numFmtId="0" fontId="2" fillId="0" borderId="9" xfId="0" applyFont="1" applyBorder="1" applyAlignment="1">
      <alignment vertical="top" wrapText="1"/>
    </xf>
    <xf numFmtId="0" fontId="6" fillId="2" borderId="10" xfId="0" applyFont="1" applyFill="1" applyBorder="1" applyAlignment="1">
      <alignment vertical="top" wrapText="1"/>
    </xf>
    <xf numFmtId="0" fontId="11" fillId="0" borderId="2" xfId="0" applyFont="1" applyBorder="1" applyAlignment="1">
      <alignment vertical="top" wrapText="1"/>
    </xf>
    <xf numFmtId="0" fontId="6" fillId="0" borderId="2" xfId="0" applyFont="1" applyBorder="1" applyAlignment="1">
      <alignment vertical="top" wrapText="1"/>
    </xf>
    <xf numFmtId="0" fontId="6" fillId="0" borderId="10" xfId="0" applyFont="1" applyBorder="1" applyAlignment="1">
      <alignment vertical="top" wrapText="1"/>
    </xf>
    <xf numFmtId="0" fontId="2" fillId="0" borderId="10" xfId="1" applyNumberFormat="1" applyFont="1" applyFill="1" applyBorder="1" applyAlignment="1">
      <alignment vertical="top" wrapText="1"/>
    </xf>
    <xf numFmtId="0" fontId="9" fillId="0" borderId="10" xfId="0" applyFont="1" applyBorder="1" applyAlignment="1">
      <alignment vertical="top" wrapText="1"/>
    </xf>
    <xf numFmtId="0" fontId="4" fillId="2" borderId="0" xfId="0" applyFont="1" applyFill="1" applyAlignment="1">
      <alignment horizontal="left" wrapText="1"/>
    </xf>
    <xf numFmtId="0" fontId="14" fillId="0" borderId="0" xfId="0" applyFont="1"/>
    <xf numFmtId="164" fontId="4" fillId="3" borderId="2" xfId="0" applyNumberFormat="1" applyFont="1" applyFill="1" applyBorder="1" applyAlignment="1">
      <alignment vertical="top"/>
    </xf>
    <xf numFmtId="0" fontId="4" fillId="3" borderId="2" xfId="0" applyFont="1" applyFill="1" applyBorder="1" applyAlignment="1">
      <alignment vertical="top"/>
    </xf>
    <xf numFmtId="0" fontId="4" fillId="3" borderId="3" xfId="0" applyFont="1" applyFill="1" applyBorder="1" applyAlignment="1">
      <alignment vertical="top"/>
    </xf>
    <xf numFmtId="0" fontId="6" fillId="0" borderId="0" xfId="0" applyFont="1" applyAlignment="1">
      <alignment vertical="top" wrapText="1"/>
    </xf>
    <xf numFmtId="0" fontId="11" fillId="0" borderId="0" xfId="0" applyFont="1" applyAlignment="1">
      <alignment vertical="top" wrapText="1"/>
    </xf>
    <xf numFmtId="7" fontId="4" fillId="3" borderId="2" xfId="1" applyNumberFormat="1" applyFont="1" applyFill="1" applyBorder="1" applyAlignment="1">
      <alignment vertical="top"/>
    </xf>
    <xf numFmtId="0" fontId="15" fillId="0" borderId="0" xfId="0" applyFont="1"/>
    <xf numFmtId="0" fontId="4" fillId="4" borderId="2" xfId="0" applyFont="1" applyFill="1" applyBorder="1" applyAlignment="1">
      <alignment vertical="top"/>
    </xf>
    <xf numFmtId="164" fontId="4" fillId="4" borderId="2" xfId="0" applyNumberFormat="1" applyFont="1" applyFill="1" applyBorder="1" applyAlignment="1">
      <alignment vertical="top"/>
    </xf>
    <xf numFmtId="3" fontId="4" fillId="4" borderId="2" xfId="0" applyNumberFormat="1" applyFont="1" applyFill="1" applyBorder="1" applyAlignment="1">
      <alignment vertical="top"/>
    </xf>
    <xf numFmtId="0" fontId="4" fillId="4" borderId="5" xfId="0" applyFont="1" applyFill="1" applyBorder="1" applyAlignment="1">
      <alignment vertical="top"/>
    </xf>
    <xf numFmtId="0" fontId="16" fillId="0" borderId="0" xfId="0" applyFont="1"/>
    <xf numFmtId="0" fontId="4" fillId="0" borderId="2" xfId="0" applyFont="1" applyBorder="1" applyAlignment="1">
      <alignment vertical="top"/>
    </xf>
    <xf numFmtId="164" fontId="4" fillId="0" borderId="2" xfId="0" applyNumberFormat="1" applyFont="1" applyBorder="1" applyAlignment="1">
      <alignment vertical="top"/>
    </xf>
    <xf numFmtId="3" fontId="4" fillId="0" borderId="2" xfId="0" applyNumberFormat="1" applyFont="1" applyBorder="1" applyAlignment="1">
      <alignment vertical="top"/>
    </xf>
    <xf numFmtId="1" fontId="4" fillId="0" borderId="2" xfId="0" applyNumberFormat="1" applyFont="1" applyBorder="1" applyAlignment="1">
      <alignment vertical="top"/>
    </xf>
    <xf numFmtId="0" fontId="4" fillId="0" borderId="2" xfId="0" applyFont="1" applyBorder="1"/>
    <xf numFmtId="44" fontId="4" fillId="0" borderId="2" xfId="1" applyFont="1" applyFill="1" applyBorder="1" applyAlignment="1">
      <alignment vertical="top"/>
    </xf>
    <xf numFmtId="1" fontId="4" fillId="0" borderId="2" xfId="1" applyNumberFormat="1" applyFont="1" applyFill="1" applyBorder="1" applyAlignment="1">
      <alignment vertical="top"/>
    </xf>
    <xf numFmtId="7" fontId="4" fillId="0" borderId="2" xfId="1" applyNumberFormat="1" applyFont="1" applyFill="1" applyBorder="1" applyAlignment="1">
      <alignment vertical="top"/>
    </xf>
    <xf numFmtId="0" fontId="4" fillId="0" borderId="4" xfId="0" applyFont="1" applyBorder="1" applyAlignment="1">
      <alignment vertical="top"/>
    </xf>
    <xf numFmtId="0" fontId="4" fillId="0" borderId="3" xfId="0" applyFont="1" applyBorder="1" applyAlignment="1">
      <alignment vertical="top"/>
    </xf>
    <xf numFmtId="0" fontId="4" fillId="0" borderId="5" xfId="0" applyFont="1" applyBorder="1" applyAlignment="1">
      <alignment vertical="top"/>
    </xf>
    <xf numFmtId="0" fontId="4" fillId="0" borderId="11" xfId="0" applyFont="1" applyBorder="1" applyAlignment="1">
      <alignment vertical="top"/>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4"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0" fillId="0" borderId="0" xfId="0" applyAlignment="1">
      <alignment wrapText="1"/>
    </xf>
    <xf numFmtId="0" fontId="4" fillId="0" borderId="15" xfId="0" applyFont="1" applyBorder="1"/>
    <xf numFmtId="0" fontId="6" fillId="0" borderId="0" xfId="0" applyFont="1" applyAlignment="1">
      <alignment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0" borderId="2" xfId="0" applyFont="1" applyBorder="1" applyAlignment="1">
      <alignment vertical="top" wrapText="1"/>
    </xf>
    <xf numFmtId="0" fontId="4" fillId="0" borderId="0" xfId="0" applyFont="1" applyAlignment="1">
      <alignment wrapText="1"/>
    </xf>
    <xf numFmtId="164" fontId="17" fillId="3" borderId="2" xfId="0" applyNumberFormat="1" applyFont="1" applyFill="1" applyBorder="1" applyAlignment="1">
      <alignment vertical="top"/>
    </xf>
    <xf numFmtId="0" fontId="17" fillId="3" borderId="2" xfId="0" applyFont="1" applyFill="1" applyBorder="1" applyAlignment="1">
      <alignment vertical="top"/>
    </xf>
    <xf numFmtId="3" fontId="17" fillId="3" borderId="2" xfId="0" applyNumberFormat="1" applyFont="1" applyFill="1" applyBorder="1" applyAlignment="1">
      <alignment vertical="top"/>
    </xf>
    <xf numFmtId="1" fontId="17" fillId="3" borderId="2" xfId="0" applyNumberFormat="1" applyFont="1" applyFill="1" applyBorder="1" applyAlignment="1">
      <alignment vertical="top"/>
    </xf>
    <xf numFmtId="0" fontId="17" fillId="3" borderId="0" xfId="0" applyFont="1" applyFill="1"/>
    <xf numFmtId="0" fontId="17" fillId="3" borderId="0" xfId="0" applyFont="1" applyFill="1" applyAlignment="1">
      <alignment vertical="top"/>
    </xf>
    <xf numFmtId="0" fontId="17" fillId="3" borderId="11" xfId="0" applyFont="1" applyFill="1" applyBorder="1" applyAlignment="1">
      <alignment vertical="top"/>
    </xf>
    <xf numFmtId="0" fontId="17" fillId="3" borderId="2" xfId="0" applyFont="1" applyFill="1" applyBorder="1"/>
    <xf numFmtId="8" fontId="17" fillId="3" borderId="2" xfId="0" applyNumberFormat="1" applyFont="1" applyFill="1" applyBorder="1" applyAlignment="1">
      <alignment vertical="top"/>
    </xf>
    <xf numFmtId="44" fontId="17" fillId="3" borderId="2" xfId="1" applyFont="1" applyFill="1" applyBorder="1" applyAlignment="1">
      <alignment vertical="top"/>
    </xf>
    <xf numFmtId="7" fontId="17" fillId="3" borderId="2" xfId="0" applyNumberFormat="1" applyFont="1" applyFill="1" applyBorder="1" applyAlignment="1">
      <alignment vertical="top"/>
    </xf>
    <xf numFmtId="1" fontId="17" fillId="3" borderId="2" xfId="1" applyNumberFormat="1" applyFont="1" applyFill="1" applyBorder="1" applyAlignment="1">
      <alignment vertical="top"/>
    </xf>
    <xf numFmtId="7" fontId="17" fillId="3" borderId="2" xfId="1" applyNumberFormat="1" applyFont="1" applyFill="1" applyBorder="1" applyAlignment="1">
      <alignment vertical="top"/>
    </xf>
    <xf numFmtId="44" fontId="4" fillId="0" borderId="2" xfId="1" applyFont="1" applyFill="1" applyBorder="1" applyAlignment="1">
      <alignment horizontal="left" vertical="top"/>
    </xf>
    <xf numFmtId="0" fontId="0" fillId="0" borderId="2" xfId="0" applyBorder="1" applyAlignment="1">
      <alignment vertical="top"/>
    </xf>
    <xf numFmtId="164" fontId="0" fillId="0" borderId="2" xfId="0" applyNumberFormat="1" applyBorder="1" applyAlignment="1">
      <alignment vertical="top"/>
    </xf>
    <xf numFmtId="3" fontId="0" fillId="0" borderId="2" xfId="0" applyNumberFormat="1" applyBorder="1" applyAlignment="1">
      <alignment vertical="top"/>
    </xf>
    <xf numFmtId="164" fontId="0" fillId="0" borderId="0" xfId="0" applyNumberFormat="1" applyAlignment="1">
      <alignment vertical="top"/>
    </xf>
    <xf numFmtId="7" fontId="0" fillId="0" borderId="2" xfId="0" applyNumberFormat="1" applyBorder="1" applyAlignment="1">
      <alignment vertical="top"/>
    </xf>
    <xf numFmtId="0" fontId="13" fillId="0" borderId="2" xfId="0" applyFont="1" applyBorder="1" applyAlignment="1">
      <alignment vertical="top" wrapText="1"/>
    </xf>
    <xf numFmtId="0" fontId="17" fillId="4" borderId="4" xfId="0" applyFont="1" applyFill="1" applyBorder="1" applyAlignment="1">
      <alignment vertical="top"/>
    </xf>
    <xf numFmtId="0" fontId="17" fillId="4" borderId="3" xfId="0" applyFont="1" applyFill="1" applyBorder="1" applyAlignment="1">
      <alignment vertical="top"/>
    </xf>
    <xf numFmtId="164" fontId="17" fillId="4" borderId="2" xfId="0" applyNumberFormat="1" applyFont="1" applyFill="1" applyBorder="1" applyAlignment="1">
      <alignment vertical="top"/>
    </xf>
    <xf numFmtId="3" fontId="17" fillId="4" borderId="2" xfId="0" applyNumberFormat="1" applyFont="1" applyFill="1" applyBorder="1" applyAlignment="1">
      <alignment vertical="top"/>
    </xf>
    <xf numFmtId="0" fontId="17" fillId="4" borderId="5" xfId="0" applyFont="1" applyFill="1" applyBorder="1" applyAlignment="1">
      <alignment vertical="top"/>
    </xf>
    <xf numFmtId="0" fontId="17" fillId="4" borderId="2" xfId="0" applyFont="1" applyFill="1" applyBorder="1" applyAlignment="1">
      <alignment vertical="top"/>
    </xf>
    <xf numFmtId="0" fontId="13" fillId="2" borderId="2" xfId="0" applyFont="1" applyFill="1" applyBorder="1" applyAlignment="1">
      <alignment vertical="top" wrapText="1"/>
    </xf>
    <xf numFmtId="0" fontId="17" fillId="4" borderId="6" xfId="0" applyFont="1" applyFill="1" applyBorder="1" applyAlignment="1">
      <alignment vertical="top"/>
    </xf>
    <xf numFmtId="0" fontId="17" fillId="4" borderId="11" xfId="0" applyFont="1" applyFill="1" applyBorder="1" applyAlignment="1">
      <alignment vertical="top"/>
    </xf>
    <xf numFmtId="0" fontId="18" fillId="0" borderId="2" xfId="0" applyFont="1" applyBorder="1" applyAlignment="1">
      <alignment vertical="top" wrapText="1"/>
    </xf>
    <xf numFmtId="0" fontId="18" fillId="2" borderId="2" xfId="0" applyFont="1" applyFill="1" applyBorder="1" applyAlignment="1">
      <alignment vertical="top" wrapText="1"/>
    </xf>
    <xf numFmtId="0" fontId="17" fillId="5" borderId="2" xfId="0" applyFont="1" applyFill="1" applyBorder="1" applyAlignment="1">
      <alignment vertical="top" wrapText="1"/>
    </xf>
    <xf numFmtId="0" fontId="17" fillId="5" borderId="2" xfId="0" applyFont="1" applyFill="1" applyBorder="1" applyAlignment="1">
      <alignment vertical="top"/>
    </xf>
    <xf numFmtId="164" fontId="17" fillId="5" borderId="2" xfId="0" applyNumberFormat="1" applyFont="1" applyFill="1" applyBorder="1" applyAlignment="1">
      <alignment vertical="top"/>
    </xf>
    <xf numFmtId="3" fontId="17" fillId="5" borderId="2" xfId="0" applyNumberFormat="1" applyFont="1" applyFill="1" applyBorder="1" applyAlignment="1">
      <alignment vertical="top"/>
    </xf>
    <xf numFmtId="0" fontId="17" fillId="5" borderId="11" xfId="0" applyFont="1" applyFill="1" applyBorder="1" applyAlignment="1">
      <alignment vertical="top" wrapText="1"/>
    </xf>
    <xf numFmtId="49" fontId="18" fillId="0" borderId="0" xfId="0" applyNumberFormat="1" applyFont="1" applyAlignment="1">
      <alignment horizontal="left" vertical="top" wrapText="1"/>
    </xf>
    <xf numFmtId="0" fontId="4" fillId="0" borderId="5" xfId="0" applyFont="1" applyBorder="1" applyAlignment="1">
      <alignment vertical="top" wrapText="1"/>
    </xf>
    <xf numFmtId="1" fontId="0" fillId="0" borderId="2" xfId="0" applyNumberFormat="1" applyBorder="1" applyAlignment="1">
      <alignment vertical="top"/>
    </xf>
    <xf numFmtId="8" fontId="0" fillId="0" borderId="2" xfId="0" applyNumberFormat="1" applyBorder="1" applyAlignment="1">
      <alignment vertical="top"/>
    </xf>
    <xf numFmtId="49" fontId="11" fillId="0" borderId="2" xfId="0" applyNumberFormat="1" applyFont="1" applyBorder="1" applyAlignment="1">
      <alignment horizontal="left" vertical="top" wrapText="1"/>
    </xf>
    <xf numFmtId="0" fontId="4" fillId="0" borderId="6" xfId="0" applyFont="1" applyBorder="1" applyAlignment="1">
      <alignment vertical="top"/>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xf numFmtId="0" fontId="4" fillId="5" borderId="12" xfId="0" applyFont="1" applyFill="1" applyBorder="1" applyAlignment="1">
      <alignment horizontal="center" vertical="center"/>
    </xf>
    <xf numFmtId="0" fontId="0" fillId="0" borderId="13" xfId="0" applyBorder="1" applyAlignment="1">
      <alignment horizontal="center" vertical="center"/>
    </xf>
    <xf numFmtId="0" fontId="4" fillId="3" borderId="12" xfId="0" applyFont="1" applyFill="1" applyBorder="1" applyAlignment="1">
      <alignment horizontal="center" vertical="center"/>
    </xf>
    <xf numFmtId="0" fontId="4" fillId="4" borderId="12" xfId="0" applyFont="1" applyFill="1" applyBorder="1" applyAlignment="1">
      <alignment horizontal="center" vertical="center"/>
    </xf>
    <xf numFmtId="0" fontId="0" fillId="4" borderId="13" xfId="0"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2"/>
  <sheetViews>
    <sheetView zoomScaleNormal="100" workbookViewId="0">
      <pane xSplit="1" topLeftCell="B1" activePane="topRight" state="frozen"/>
      <selection pane="topRight" activeCell="I3" sqref="I3"/>
    </sheetView>
  </sheetViews>
  <sheetFormatPr defaultColWidth="9.1796875" defaultRowHeight="14.5" x14ac:dyDescent="0.35"/>
  <cols>
    <col min="1" max="1" width="19.81640625" style="4" customWidth="1"/>
    <col min="2" max="2" width="11.7265625" style="4" customWidth="1"/>
    <col min="3" max="3" width="9" style="4" customWidth="1"/>
    <col min="4" max="4" width="9.1796875" style="4" customWidth="1"/>
    <col min="5" max="5" width="8" style="4" customWidth="1"/>
    <col min="6" max="6" width="13.81640625" style="4" customWidth="1"/>
    <col min="7" max="7" width="7.7265625" style="4" customWidth="1"/>
    <col min="8" max="8" width="7.1796875" style="4" customWidth="1"/>
    <col min="9" max="9" width="14.26953125" style="4" customWidth="1"/>
    <col min="10" max="11" width="15.26953125" style="4" customWidth="1"/>
    <col min="12" max="12" width="13" style="4" customWidth="1"/>
    <col min="13" max="13" width="13.54296875" style="4" customWidth="1"/>
    <col min="14" max="14" width="12.54296875" style="4" customWidth="1"/>
    <col min="15" max="15" width="34.81640625" style="15" hidden="1" customWidth="1"/>
    <col min="16" max="16384" width="9.1796875" style="4"/>
  </cols>
  <sheetData>
    <row r="1" spans="1:15" ht="18.5" x14ac:dyDescent="0.45">
      <c r="A1" s="7" t="s">
        <v>76</v>
      </c>
      <c r="B1" s="7"/>
      <c r="C1" s="7"/>
      <c r="D1" s="7"/>
      <c r="O1" s="64"/>
    </row>
    <row r="2" spans="1:15" ht="15.5" x14ac:dyDescent="0.35">
      <c r="A2" s="33" t="s">
        <v>0</v>
      </c>
      <c r="B2" s="8"/>
      <c r="C2" s="8"/>
      <c r="D2" s="8"/>
      <c r="E2" s="8"/>
      <c r="N2" s="6"/>
      <c r="O2" s="64"/>
    </row>
    <row r="3" spans="1:15" x14ac:dyDescent="0.35">
      <c r="A3" s="4" t="s">
        <v>29</v>
      </c>
      <c r="C3" s="1"/>
      <c r="O3" s="64"/>
    </row>
    <row r="4" spans="1:15" x14ac:dyDescent="0.35">
      <c r="A4" s="4" t="s">
        <v>37</v>
      </c>
      <c r="D4" s="1"/>
      <c r="E4" s="1"/>
      <c r="O4" s="65"/>
    </row>
    <row r="5" spans="1:15" ht="15" thickBot="1" x14ac:dyDescent="0.4">
      <c r="D5" s="1"/>
      <c r="E5" s="1"/>
      <c r="N5" s="63"/>
      <c r="O5" s="23"/>
    </row>
    <row r="6" spans="1:15" ht="29.5" thickBot="1" x14ac:dyDescent="0.4">
      <c r="A6" s="60" t="s">
        <v>26</v>
      </c>
      <c r="B6" s="60" t="s">
        <v>41</v>
      </c>
      <c r="C6" s="127" t="s">
        <v>36</v>
      </c>
      <c r="D6" s="126"/>
      <c r="E6" s="59" t="s">
        <v>18</v>
      </c>
      <c r="F6" s="59"/>
      <c r="G6" s="59" t="s">
        <v>40</v>
      </c>
      <c r="H6" s="59"/>
      <c r="I6" s="60" t="s">
        <v>69</v>
      </c>
      <c r="J6" s="60" t="s">
        <v>23</v>
      </c>
      <c r="K6" s="60" t="s">
        <v>24</v>
      </c>
      <c r="L6" s="60" t="s">
        <v>67</v>
      </c>
      <c r="M6" s="60" t="s">
        <v>68</v>
      </c>
      <c r="N6" s="61" t="s">
        <v>27</v>
      </c>
      <c r="O6" s="24" t="s">
        <v>32</v>
      </c>
    </row>
    <row r="7" spans="1:15" ht="41.5" customHeight="1" thickBot="1" x14ac:dyDescent="0.4">
      <c r="A7" s="36"/>
      <c r="B7" s="62"/>
      <c r="C7" s="59" t="s">
        <v>3</v>
      </c>
      <c r="D7" s="59" t="s">
        <v>4</v>
      </c>
      <c r="E7" s="59" t="s">
        <v>5</v>
      </c>
      <c r="F7" s="59" t="s">
        <v>6</v>
      </c>
      <c r="G7" s="59" t="s">
        <v>5</v>
      </c>
      <c r="H7" s="59" t="s">
        <v>7</v>
      </c>
      <c r="I7" s="58" t="s">
        <v>70</v>
      </c>
      <c r="J7" s="59" t="s">
        <v>8</v>
      </c>
      <c r="K7" s="59" t="s">
        <v>25</v>
      </c>
      <c r="L7" s="58" t="s">
        <v>34</v>
      </c>
      <c r="M7" s="58" t="s">
        <v>34</v>
      </c>
      <c r="N7" s="58" t="s">
        <v>28</v>
      </c>
      <c r="O7" s="25"/>
    </row>
    <row r="8" spans="1:15" ht="38.15" customHeight="1" thickBot="1" x14ac:dyDescent="0.4">
      <c r="A8" s="93" t="s">
        <v>19</v>
      </c>
      <c r="B8" s="93" t="s">
        <v>4</v>
      </c>
      <c r="C8" s="94"/>
      <c r="D8" s="94">
        <v>6.69</v>
      </c>
      <c r="E8" s="94">
        <v>3.19</v>
      </c>
      <c r="F8" s="95">
        <v>1000</v>
      </c>
      <c r="G8" s="94"/>
      <c r="H8" s="117"/>
      <c r="I8" s="94">
        <f>D8 +(E8*12)</f>
        <v>44.97</v>
      </c>
      <c r="J8" s="94">
        <v>23.41</v>
      </c>
      <c r="K8" s="94">
        <v>11.14</v>
      </c>
      <c r="L8" s="94">
        <f>K8*12</f>
        <v>133.68</v>
      </c>
      <c r="M8" s="94">
        <f>J8+L8</f>
        <v>157.09</v>
      </c>
      <c r="N8" s="94">
        <f>I8+M8</f>
        <v>202.06</v>
      </c>
      <c r="O8" s="31" t="s">
        <v>160</v>
      </c>
    </row>
    <row r="9" spans="1:15" ht="5.25" customHeight="1" thickBot="1" x14ac:dyDescent="0.4">
      <c r="A9" s="79"/>
      <c r="B9" s="80"/>
      <c r="C9" s="79"/>
      <c r="D9" s="79"/>
      <c r="E9" s="79"/>
      <c r="F9" s="81"/>
      <c r="G9" s="79"/>
      <c r="H9" s="82"/>
      <c r="I9" s="82"/>
      <c r="J9" s="34"/>
      <c r="K9" s="34"/>
      <c r="L9" s="34"/>
      <c r="M9" s="34"/>
      <c r="N9" s="83"/>
      <c r="O9" s="29"/>
    </row>
    <row r="10" spans="1:15" s="14" customFormat="1" ht="35.15" customHeight="1" thickBot="1" x14ac:dyDescent="0.4">
      <c r="A10" s="46" t="s">
        <v>204</v>
      </c>
      <c r="B10" s="46" t="s">
        <v>3</v>
      </c>
      <c r="C10" s="47"/>
      <c r="D10" s="47"/>
      <c r="E10" s="47">
        <v>3</v>
      </c>
      <c r="F10" s="48">
        <v>1000</v>
      </c>
      <c r="G10" s="47"/>
      <c r="H10" s="49"/>
      <c r="I10" s="47">
        <f>D10 +(E10*12)</f>
        <v>36</v>
      </c>
      <c r="J10" s="47">
        <v>23.41</v>
      </c>
      <c r="K10" s="47">
        <v>11.14</v>
      </c>
      <c r="L10" s="47">
        <f t="shared" ref="L10:L58" si="0">K10*12</f>
        <v>133.68</v>
      </c>
      <c r="M10" s="47">
        <f t="shared" ref="M10:M58" si="1">J10+L10</f>
        <v>157.09</v>
      </c>
      <c r="N10" s="47">
        <f>I10+M10</f>
        <v>193.09</v>
      </c>
      <c r="O10" s="31" t="s">
        <v>77</v>
      </c>
    </row>
    <row r="11" spans="1:15" ht="6" customHeight="1" thickBot="1" x14ac:dyDescent="0.4">
      <c r="A11" s="79"/>
      <c r="B11" s="80"/>
      <c r="C11" s="79"/>
      <c r="D11" s="79"/>
      <c r="E11" s="79"/>
      <c r="F11" s="81"/>
      <c r="G11" s="79"/>
      <c r="H11" s="82"/>
      <c r="I11" s="82"/>
      <c r="J11" s="34"/>
      <c r="K11" s="34"/>
      <c r="L11" s="34"/>
      <c r="M11" s="34"/>
      <c r="N11" s="83"/>
    </row>
    <row r="12" spans="1:15" ht="35.25" customHeight="1" thickBot="1" x14ac:dyDescent="0.4">
      <c r="A12" s="46" t="s">
        <v>205</v>
      </c>
      <c r="B12" s="46" t="s">
        <v>3</v>
      </c>
      <c r="C12" s="47"/>
      <c r="D12" s="47"/>
      <c r="E12" s="47">
        <v>4.5</v>
      </c>
      <c r="F12" s="48">
        <v>1000</v>
      </c>
      <c r="G12" s="47"/>
      <c r="H12" s="49"/>
      <c r="I12" s="47">
        <f>D12+(E12*12)</f>
        <v>54</v>
      </c>
      <c r="J12" s="47">
        <v>23.41</v>
      </c>
      <c r="K12" s="47">
        <v>11.14</v>
      </c>
      <c r="L12" s="47">
        <f t="shared" si="0"/>
        <v>133.68</v>
      </c>
      <c r="M12" s="47">
        <f t="shared" si="1"/>
        <v>157.09</v>
      </c>
      <c r="N12" s="47">
        <f>I12+M12</f>
        <v>211.09</v>
      </c>
      <c r="O12" s="29" t="s">
        <v>78</v>
      </c>
    </row>
    <row r="13" spans="1:15" ht="5.25" customHeight="1" thickBot="1" x14ac:dyDescent="0.4">
      <c r="A13" s="79"/>
      <c r="B13" s="80"/>
      <c r="C13" s="79"/>
      <c r="D13" s="79"/>
      <c r="E13" s="79"/>
      <c r="F13" s="81"/>
      <c r="G13" s="79"/>
      <c r="H13" s="82"/>
      <c r="I13" s="82"/>
      <c r="J13" s="34"/>
      <c r="K13" s="34"/>
      <c r="L13" s="34"/>
      <c r="M13" s="34"/>
      <c r="N13" s="83"/>
      <c r="O13" s="29"/>
    </row>
    <row r="14" spans="1:15" ht="35.15" customHeight="1" thickBot="1" x14ac:dyDescent="0.4">
      <c r="A14" s="46" t="s">
        <v>206</v>
      </c>
      <c r="B14" s="46" t="s">
        <v>3</v>
      </c>
      <c r="C14" s="47"/>
      <c r="D14" s="47"/>
      <c r="E14" s="47">
        <v>8.5</v>
      </c>
      <c r="F14" s="48">
        <v>1000</v>
      </c>
      <c r="G14" s="47"/>
      <c r="H14" s="49"/>
      <c r="I14" s="47">
        <f>D14 +(E14*12)</f>
        <v>102</v>
      </c>
      <c r="J14" s="47">
        <v>23.41</v>
      </c>
      <c r="K14" s="47">
        <v>11.14</v>
      </c>
      <c r="L14" s="47">
        <f t="shared" si="0"/>
        <v>133.68</v>
      </c>
      <c r="M14" s="47">
        <f t="shared" si="1"/>
        <v>157.09</v>
      </c>
      <c r="N14" s="47">
        <f>I14+M14</f>
        <v>259.09000000000003</v>
      </c>
      <c r="O14" s="29" t="s">
        <v>79</v>
      </c>
    </row>
    <row r="15" spans="1:15" ht="5.25" customHeight="1" thickBot="1" x14ac:dyDescent="0.4">
      <c r="A15" s="80"/>
      <c r="B15" s="80"/>
      <c r="C15" s="79"/>
      <c r="D15" s="79"/>
      <c r="E15" s="79"/>
      <c r="F15" s="81"/>
      <c r="G15" s="79"/>
      <c r="H15" s="82"/>
      <c r="I15" s="82"/>
      <c r="J15" s="34"/>
      <c r="K15" s="34"/>
      <c r="L15" s="34"/>
      <c r="M15" s="34"/>
      <c r="N15" s="79"/>
      <c r="O15" s="29"/>
    </row>
    <row r="16" spans="1:15" customFormat="1" ht="35.15" customHeight="1" thickBot="1" x14ac:dyDescent="0.4">
      <c r="A16" s="46" t="s">
        <v>207</v>
      </c>
      <c r="B16" s="46" t="s">
        <v>4</v>
      </c>
      <c r="C16" s="47"/>
      <c r="D16" s="47"/>
      <c r="E16" s="47">
        <f>94.69-J16-(K16*8)</f>
        <v>-17.840000000000003</v>
      </c>
      <c r="F16" s="48">
        <v>8000</v>
      </c>
      <c r="G16" s="47">
        <f>11.83-K16</f>
        <v>0.6899999999999995</v>
      </c>
      <c r="H16" s="48">
        <v>8001</v>
      </c>
      <c r="I16" s="47">
        <f>(E16) +(G16*4)</f>
        <v>-15.080000000000005</v>
      </c>
      <c r="J16" s="47">
        <v>23.41</v>
      </c>
      <c r="K16" s="47">
        <v>11.14</v>
      </c>
      <c r="L16" s="47">
        <f t="shared" si="0"/>
        <v>133.68</v>
      </c>
      <c r="M16" s="47">
        <f t="shared" si="1"/>
        <v>157.09</v>
      </c>
      <c r="N16" s="47">
        <f>I16+M16</f>
        <v>142.01</v>
      </c>
      <c r="O16" s="29" t="s">
        <v>93</v>
      </c>
    </row>
    <row r="17" spans="1:15" customFormat="1" ht="5.25" customHeight="1" thickBot="1" x14ac:dyDescent="0.4">
      <c r="A17" s="80" t="s">
        <v>59</v>
      </c>
      <c r="B17" s="84"/>
      <c r="C17" s="79"/>
      <c r="D17" s="79"/>
      <c r="E17" s="79"/>
      <c r="F17" s="81"/>
      <c r="G17" s="79"/>
      <c r="H17" s="81"/>
      <c r="I17" s="82"/>
      <c r="J17" s="34"/>
      <c r="K17" s="34"/>
      <c r="L17" s="34"/>
      <c r="M17" s="34"/>
      <c r="N17" s="79"/>
      <c r="O17" s="31"/>
    </row>
    <row r="18" spans="1:15" s="13" customFormat="1" ht="35.15" customHeight="1" thickBot="1" x14ac:dyDescent="0.4">
      <c r="A18" s="46" t="s">
        <v>20</v>
      </c>
      <c r="B18" s="46" t="s">
        <v>3</v>
      </c>
      <c r="C18" s="47"/>
      <c r="D18" s="47">
        <f>0.5*J18</f>
        <v>11.705</v>
      </c>
      <c r="E18" s="47">
        <f>0.5*K18</f>
        <v>5.57</v>
      </c>
      <c r="F18" s="48">
        <v>1000</v>
      </c>
      <c r="G18" s="47"/>
      <c r="H18" s="48"/>
      <c r="I18" s="47">
        <f>D18 +(E18*12)</f>
        <v>78.545000000000002</v>
      </c>
      <c r="J18" s="47">
        <v>23.41</v>
      </c>
      <c r="K18" s="47">
        <v>11.14</v>
      </c>
      <c r="L18" s="47">
        <f t="shared" si="0"/>
        <v>133.68</v>
      </c>
      <c r="M18" s="47">
        <f t="shared" si="1"/>
        <v>157.09</v>
      </c>
      <c r="N18" s="47">
        <f>I18+M18</f>
        <v>235.63499999999999</v>
      </c>
      <c r="O18" s="29" t="s">
        <v>80</v>
      </c>
    </row>
    <row r="19" spans="1:15" s="13" customFormat="1" ht="5.25" customHeight="1" thickBot="1" x14ac:dyDescent="0.4">
      <c r="A19" s="80"/>
      <c r="B19" s="84"/>
      <c r="C19" s="79"/>
      <c r="D19" s="79"/>
      <c r="E19" s="79"/>
      <c r="F19" s="81"/>
      <c r="G19" s="79"/>
      <c r="H19" s="81"/>
      <c r="I19" s="82"/>
      <c r="J19" s="34"/>
      <c r="K19" s="34"/>
      <c r="L19" s="34"/>
      <c r="M19" s="34"/>
      <c r="N19" s="79"/>
      <c r="O19" s="29"/>
    </row>
    <row r="20" spans="1:15" s="13" customFormat="1" ht="35.15" customHeight="1" thickBot="1" x14ac:dyDescent="0.4">
      <c r="A20" s="46" t="s">
        <v>208</v>
      </c>
      <c r="B20" s="46" t="s">
        <v>3</v>
      </c>
      <c r="C20" s="47"/>
      <c r="D20" s="47"/>
      <c r="E20" s="47">
        <v>5.7</v>
      </c>
      <c r="F20" s="48">
        <v>1000</v>
      </c>
      <c r="G20" s="47"/>
      <c r="H20" s="48"/>
      <c r="I20" s="47">
        <f>D20 +(E20*12)</f>
        <v>68.400000000000006</v>
      </c>
      <c r="J20" s="47">
        <v>23.41</v>
      </c>
      <c r="K20" s="47">
        <v>11.14</v>
      </c>
      <c r="L20" s="47">
        <f t="shared" si="0"/>
        <v>133.68</v>
      </c>
      <c r="M20" s="47">
        <f t="shared" si="1"/>
        <v>157.09</v>
      </c>
      <c r="N20" s="47">
        <f>I20+M20</f>
        <v>225.49</v>
      </c>
      <c r="O20" s="29" t="s">
        <v>81</v>
      </c>
    </row>
    <row r="21" spans="1:15" s="13" customFormat="1" ht="5.25" customHeight="1" thickBot="1" x14ac:dyDescent="0.4">
      <c r="A21" s="80"/>
      <c r="B21" s="80"/>
      <c r="C21" s="79"/>
      <c r="D21" s="79"/>
      <c r="E21" s="79"/>
      <c r="F21" s="81"/>
      <c r="G21" s="79"/>
      <c r="H21" s="81"/>
      <c r="I21" s="82"/>
      <c r="J21" s="34"/>
      <c r="K21" s="34"/>
      <c r="L21" s="34"/>
      <c r="M21" s="34"/>
      <c r="N21" s="79"/>
      <c r="O21" s="26"/>
    </row>
    <row r="22" spans="1:15" ht="35.15" customHeight="1" thickBot="1" x14ac:dyDescent="0.4">
      <c r="A22" s="93" t="s">
        <v>209</v>
      </c>
      <c r="B22" s="93" t="s">
        <v>4</v>
      </c>
      <c r="C22" s="94"/>
      <c r="D22" s="94"/>
      <c r="E22" s="94">
        <v>4.75</v>
      </c>
      <c r="F22" s="95">
        <v>1000</v>
      </c>
      <c r="G22" s="94"/>
      <c r="H22" s="95"/>
      <c r="I22" s="94">
        <f>D22 +(E22*12)</f>
        <v>57</v>
      </c>
      <c r="J22" s="94">
        <v>23.41</v>
      </c>
      <c r="K22" s="94">
        <v>11.14</v>
      </c>
      <c r="L22" s="94">
        <f t="shared" si="0"/>
        <v>133.68</v>
      </c>
      <c r="M22" s="94">
        <f t="shared" si="1"/>
        <v>157.09</v>
      </c>
      <c r="N22" s="94">
        <f>I22+M22</f>
        <v>214.09</v>
      </c>
      <c r="O22" s="31" t="s">
        <v>161</v>
      </c>
    </row>
    <row r="23" spans="1:15" ht="5.25" customHeight="1" thickBot="1" x14ac:dyDescent="0.4">
      <c r="A23" s="80"/>
      <c r="B23" s="80"/>
      <c r="C23" s="79"/>
      <c r="D23" s="79"/>
      <c r="E23" s="79"/>
      <c r="F23" s="81"/>
      <c r="G23" s="79"/>
      <c r="H23" s="81"/>
      <c r="I23" s="82"/>
      <c r="J23" s="34"/>
      <c r="K23" s="34"/>
      <c r="L23" s="34"/>
      <c r="M23" s="34"/>
      <c r="N23" s="79"/>
      <c r="O23" s="29"/>
    </row>
    <row r="24" spans="1:15" ht="35.15" customHeight="1" thickBot="1" x14ac:dyDescent="0.4">
      <c r="A24" s="46" t="s">
        <v>210</v>
      </c>
      <c r="B24" s="46" t="s">
        <v>3</v>
      </c>
      <c r="C24" s="47"/>
      <c r="D24" s="47"/>
      <c r="E24" s="47">
        <f>15.96-K24</f>
        <v>4.82</v>
      </c>
      <c r="F24" s="48">
        <v>1000</v>
      </c>
      <c r="G24" s="47"/>
      <c r="H24" s="48"/>
      <c r="I24" s="47">
        <f>D24 +(E24*12)</f>
        <v>57.84</v>
      </c>
      <c r="J24" s="47">
        <v>23.41</v>
      </c>
      <c r="K24" s="47">
        <v>11.14</v>
      </c>
      <c r="L24" s="47">
        <f t="shared" si="0"/>
        <v>133.68</v>
      </c>
      <c r="M24" s="47">
        <f t="shared" si="1"/>
        <v>157.09</v>
      </c>
      <c r="N24" s="47">
        <f>I24+M24</f>
        <v>214.93</v>
      </c>
      <c r="O24" s="29" t="s">
        <v>94</v>
      </c>
    </row>
    <row r="25" spans="1:15" ht="5.25" customHeight="1" thickBot="1" x14ac:dyDescent="0.4">
      <c r="A25" s="80"/>
      <c r="B25" s="80"/>
      <c r="C25" s="79"/>
      <c r="D25" s="79"/>
      <c r="E25" s="79"/>
      <c r="F25" s="81"/>
      <c r="G25" s="79"/>
      <c r="H25" s="81"/>
      <c r="I25" s="82"/>
      <c r="J25" s="34"/>
      <c r="K25" s="34"/>
      <c r="L25" s="34"/>
      <c r="M25" s="34"/>
      <c r="N25" s="79"/>
      <c r="O25" s="29"/>
    </row>
    <row r="26" spans="1:15" ht="35.15" customHeight="1" thickBot="1" x14ac:dyDescent="0.4">
      <c r="A26" s="46" t="s">
        <v>211</v>
      </c>
      <c r="B26" s="46" t="s">
        <v>3</v>
      </c>
      <c r="C26" s="47"/>
      <c r="D26" s="47"/>
      <c r="E26" s="47">
        <v>5.75</v>
      </c>
      <c r="F26" s="48">
        <v>1000</v>
      </c>
      <c r="G26" s="47"/>
      <c r="H26" s="48"/>
      <c r="I26" s="47">
        <f>D26 +(E26*12)</f>
        <v>69</v>
      </c>
      <c r="J26" s="47">
        <v>23.41</v>
      </c>
      <c r="K26" s="47">
        <v>11.14</v>
      </c>
      <c r="L26" s="47">
        <f t="shared" si="0"/>
        <v>133.68</v>
      </c>
      <c r="M26" s="47">
        <f t="shared" si="1"/>
        <v>157.09</v>
      </c>
      <c r="N26" s="47">
        <f>I26+M26</f>
        <v>226.09</v>
      </c>
      <c r="O26" s="29" t="s">
        <v>82</v>
      </c>
    </row>
    <row r="27" spans="1:15" ht="5.25" customHeight="1" thickBot="1" x14ac:dyDescent="0.4">
      <c r="A27" s="80"/>
      <c r="B27" s="80"/>
      <c r="C27" s="79"/>
      <c r="D27" s="79"/>
      <c r="E27" s="79"/>
      <c r="F27" s="81"/>
      <c r="G27" s="79"/>
      <c r="H27" s="81"/>
      <c r="I27" s="82"/>
      <c r="J27" s="34"/>
      <c r="K27" s="34"/>
      <c r="L27" s="34"/>
      <c r="M27" s="34"/>
      <c r="N27" s="79"/>
      <c r="O27" s="29"/>
    </row>
    <row r="28" spans="1:15" ht="38.15" customHeight="1" thickBot="1" x14ac:dyDescent="0.4">
      <c r="A28" s="46" t="s">
        <v>57</v>
      </c>
      <c r="B28" s="46" t="s">
        <v>4</v>
      </c>
      <c r="C28" s="47"/>
      <c r="D28" s="47"/>
      <c r="E28" s="47">
        <f>161.4-M28</f>
        <v>4.3100000000000023</v>
      </c>
      <c r="F28" s="48"/>
      <c r="G28" s="47"/>
      <c r="H28" s="48"/>
      <c r="I28" s="47">
        <f>E28</f>
        <v>4.3100000000000023</v>
      </c>
      <c r="J28" s="47">
        <v>23.41</v>
      </c>
      <c r="K28" s="47">
        <v>11.14</v>
      </c>
      <c r="L28" s="47">
        <f t="shared" si="0"/>
        <v>133.68</v>
      </c>
      <c r="M28" s="47">
        <f t="shared" si="1"/>
        <v>157.09</v>
      </c>
      <c r="N28" s="47">
        <f>I28+M28</f>
        <v>161.4</v>
      </c>
      <c r="O28" s="29" t="s">
        <v>95</v>
      </c>
    </row>
    <row r="29" spans="1:15" ht="5.25" customHeight="1" thickBot="1" x14ac:dyDescent="0.4">
      <c r="A29" s="80"/>
      <c r="B29" s="80"/>
      <c r="C29" s="79"/>
      <c r="D29" s="79"/>
      <c r="E29" s="79"/>
      <c r="F29" s="81"/>
      <c r="G29" s="79"/>
      <c r="H29" s="81"/>
      <c r="I29" s="82"/>
      <c r="J29" s="34"/>
      <c r="K29" s="34"/>
      <c r="L29" s="34"/>
      <c r="M29" s="34"/>
      <c r="N29" s="79"/>
      <c r="O29" s="29"/>
    </row>
    <row r="30" spans="1:15" s="13" customFormat="1" ht="38.15" customHeight="1" thickBot="1" x14ac:dyDescent="0.4">
      <c r="A30" s="93" t="s">
        <v>64</v>
      </c>
      <c r="B30" s="93" t="s">
        <v>4</v>
      </c>
      <c r="C30" s="94"/>
      <c r="D30" s="94">
        <v>4.5</v>
      </c>
      <c r="E30" s="94">
        <f>121.8-J30-(K30*6)</f>
        <v>31.549999999999997</v>
      </c>
      <c r="F30" s="95">
        <v>6000</v>
      </c>
      <c r="G30" s="94">
        <f>20.3-K30</f>
        <v>9.16</v>
      </c>
      <c r="H30" s="95">
        <v>6001</v>
      </c>
      <c r="I30" s="94">
        <f>D30+E30+(G30*6)</f>
        <v>91.009999999999991</v>
      </c>
      <c r="J30" s="94">
        <v>23.41</v>
      </c>
      <c r="K30" s="94">
        <v>11.14</v>
      </c>
      <c r="L30" s="94">
        <f t="shared" si="0"/>
        <v>133.68</v>
      </c>
      <c r="M30" s="94">
        <f t="shared" si="1"/>
        <v>157.09</v>
      </c>
      <c r="N30" s="94">
        <f>I30+M30</f>
        <v>248.1</v>
      </c>
      <c r="O30" s="31" t="s">
        <v>100</v>
      </c>
    </row>
    <row r="31" spans="1:15" s="13" customFormat="1" ht="5.25" customHeight="1" thickBot="1" x14ac:dyDescent="0.4">
      <c r="A31" s="80"/>
      <c r="B31" s="80"/>
      <c r="C31" s="79"/>
      <c r="D31" s="79"/>
      <c r="E31" s="79"/>
      <c r="F31" s="81"/>
      <c r="G31" s="79"/>
      <c r="H31" s="81"/>
      <c r="I31" s="82"/>
      <c r="J31" s="34"/>
      <c r="K31" s="34"/>
      <c r="L31" s="34"/>
      <c r="M31" s="34"/>
      <c r="N31" s="79"/>
      <c r="O31" s="29"/>
    </row>
    <row r="32" spans="1:15" ht="38.15" customHeight="1" thickBot="1" x14ac:dyDescent="0.4">
      <c r="A32" s="46" t="s">
        <v>46</v>
      </c>
      <c r="B32" s="46" t="s">
        <v>3</v>
      </c>
      <c r="C32" s="47"/>
      <c r="D32" s="47">
        <f>(6.67*3)-J32</f>
        <v>-3.4000000000000021</v>
      </c>
      <c r="E32" s="47">
        <f>24.63-K32</f>
        <v>13.489999999999998</v>
      </c>
      <c r="F32" s="48">
        <v>1000</v>
      </c>
      <c r="G32" s="47"/>
      <c r="H32" s="48"/>
      <c r="I32" s="47">
        <f>D32 +(E32*12)</f>
        <v>158.47999999999999</v>
      </c>
      <c r="J32" s="47">
        <v>23.41</v>
      </c>
      <c r="K32" s="47">
        <v>11.14</v>
      </c>
      <c r="L32" s="47">
        <f t="shared" si="0"/>
        <v>133.68</v>
      </c>
      <c r="M32" s="47">
        <f t="shared" si="1"/>
        <v>157.09</v>
      </c>
      <c r="N32" s="47">
        <f>I32+M32</f>
        <v>315.57</v>
      </c>
      <c r="O32" s="29" t="s">
        <v>92</v>
      </c>
    </row>
    <row r="33" spans="1:15" ht="5.25" customHeight="1" thickBot="1" x14ac:dyDescent="0.4">
      <c r="A33" s="80"/>
      <c r="B33" s="80"/>
      <c r="C33" s="79"/>
      <c r="D33" s="79"/>
      <c r="E33" s="79"/>
      <c r="F33" s="81"/>
      <c r="G33" s="79"/>
      <c r="H33" s="81"/>
      <c r="I33" s="82"/>
      <c r="J33" s="34"/>
      <c r="K33" s="34"/>
      <c r="L33" s="34"/>
      <c r="M33" s="34"/>
      <c r="N33" s="79"/>
      <c r="O33" s="29"/>
    </row>
    <row r="34" spans="1:15" ht="38.15" customHeight="1" thickBot="1" x14ac:dyDescent="0.4">
      <c r="A34" s="46" t="s">
        <v>48</v>
      </c>
      <c r="B34" s="46" t="s">
        <v>4</v>
      </c>
      <c r="C34" s="47"/>
      <c r="D34" s="47"/>
      <c r="E34" s="47">
        <f>99.45-J34-(K34*3)</f>
        <v>42.620000000000005</v>
      </c>
      <c r="F34" s="48">
        <v>3000</v>
      </c>
      <c r="G34" s="47">
        <f>9.67-K34</f>
        <v>-1.4700000000000006</v>
      </c>
      <c r="H34" s="48">
        <v>3001</v>
      </c>
      <c r="I34" s="47">
        <f>(E34)+(G34*9)</f>
        <v>29.39</v>
      </c>
      <c r="J34" s="47">
        <v>23.41</v>
      </c>
      <c r="K34" s="47">
        <v>11.14</v>
      </c>
      <c r="L34" s="47">
        <f t="shared" si="0"/>
        <v>133.68</v>
      </c>
      <c r="M34" s="47">
        <f t="shared" si="1"/>
        <v>157.09</v>
      </c>
      <c r="N34" s="47">
        <f>I34+M34</f>
        <v>186.48000000000002</v>
      </c>
      <c r="O34" s="29" t="s">
        <v>96</v>
      </c>
    </row>
    <row r="35" spans="1:15" ht="5.25" customHeight="1" thickBot="1" x14ac:dyDescent="0.4">
      <c r="A35" s="80"/>
      <c r="B35" s="80"/>
      <c r="C35" s="79"/>
      <c r="D35" s="79"/>
      <c r="E35" s="79"/>
      <c r="F35" s="81"/>
      <c r="G35" s="79"/>
      <c r="H35" s="81"/>
      <c r="I35" s="82"/>
      <c r="J35" s="34"/>
      <c r="K35" s="34"/>
      <c r="L35" s="34"/>
      <c r="M35" s="34"/>
      <c r="N35" s="79"/>
      <c r="O35" s="37"/>
    </row>
    <row r="36" spans="1:15" ht="38.15" customHeight="1" thickBot="1" x14ac:dyDescent="0.4">
      <c r="A36" s="46" t="s">
        <v>212</v>
      </c>
      <c r="B36" s="46" t="s">
        <v>3</v>
      </c>
      <c r="C36" s="47">
        <v>0.83333999999999997</v>
      </c>
      <c r="D36" s="50"/>
      <c r="E36" s="47">
        <v>5</v>
      </c>
      <c r="F36" s="48">
        <v>1000</v>
      </c>
      <c r="G36" s="46"/>
      <c r="H36" s="48"/>
      <c r="I36" s="47">
        <f>(C36*3) +(E36*12)</f>
        <v>62.500019999999999</v>
      </c>
      <c r="J36" s="47">
        <v>23.41</v>
      </c>
      <c r="K36" s="47">
        <v>11.14</v>
      </c>
      <c r="L36" s="47">
        <f t="shared" si="0"/>
        <v>133.68</v>
      </c>
      <c r="M36" s="47">
        <f t="shared" si="1"/>
        <v>157.09</v>
      </c>
      <c r="N36" s="47">
        <f>I36+M36</f>
        <v>219.59002000000001</v>
      </c>
      <c r="O36" s="29" t="s">
        <v>83</v>
      </c>
    </row>
    <row r="37" spans="1:15" ht="5.25" customHeight="1" thickBot="1" x14ac:dyDescent="0.4">
      <c r="A37" s="85"/>
      <c r="B37" s="80"/>
      <c r="C37" s="79"/>
      <c r="D37" s="86"/>
      <c r="E37" s="79"/>
      <c r="F37" s="81"/>
      <c r="G37" s="80"/>
      <c r="H37" s="81"/>
      <c r="I37" s="82"/>
      <c r="J37" s="34"/>
      <c r="K37" s="34"/>
      <c r="L37" s="34"/>
      <c r="M37" s="34"/>
      <c r="N37" s="79"/>
      <c r="O37" s="38"/>
    </row>
    <row r="38" spans="1:15" s="13" customFormat="1" ht="38.15" customHeight="1" thickBot="1" x14ac:dyDescent="0.4">
      <c r="A38" s="46" t="s">
        <v>10</v>
      </c>
      <c r="B38" s="46" t="s">
        <v>3</v>
      </c>
      <c r="C38" s="47"/>
      <c r="D38" s="47"/>
      <c r="E38" s="47">
        <v>8.25</v>
      </c>
      <c r="F38" s="48">
        <v>1000</v>
      </c>
      <c r="G38" s="47">
        <v>6.68</v>
      </c>
      <c r="H38" s="48">
        <v>2001</v>
      </c>
      <c r="I38" s="47">
        <f>(C38*3)+(E38*3)+(G38*9)</f>
        <v>84.87</v>
      </c>
      <c r="J38" s="47">
        <v>23.41</v>
      </c>
      <c r="K38" s="47">
        <v>11.14</v>
      </c>
      <c r="L38" s="47">
        <f t="shared" si="0"/>
        <v>133.68</v>
      </c>
      <c r="M38" s="47">
        <f t="shared" si="1"/>
        <v>157.09</v>
      </c>
      <c r="N38" s="47">
        <f>I38+M38</f>
        <v>241.96</v>
      </c>
      <c r="O38" s="27" t="s">
        <v>84</v>
      </c>
    </row>
    <row r="39" spans="1:15" s="13" customFormat="1" ht="5.25" customHeight="1" thickBot="1" x14ac:dyDescent="0.4">
      <c r="A39" s="85"/>
      <c r="B39" s="85"/>
      <c r="C39" s="79"/>
      <c r="D39" s="79"/>
      <c r="E39" s="79"/>
      <c r="F39" s="81"/>
      <c r="G39" s="79"/>
      <c r="H39" s="81"/>
      <c r="I39" s="82"/>
      <c r="J39" s="34"/>
      <c r="K39" s="34"/>
      <c r="L39" s="34"/>
      <c r="M39" s="34"/>
      <c r="N39" s="79"/>
      <c r="O39" s="29"/>
    </row>
    <row r="40" spans="1:15" ht="38.15" customHeight="1" thickBot="1" x14ac:dyDescent="0.4">
      <c r="A40" s="93" t="s">
        <v>97</v>
      </c>
      <c r="B40" s="93" t="s">
        <v>3</v>
      </c>
      <c r="C40" s="94"/>
      <c r="D40" s="94"/>
      <c r="E40" s="94">
        <v>36.5</v>
      </c>
      <c r="F40" s="95">
        <v>1870</v>
      </c>
      <c r="G40" s="118">
        <v>7.35</v>
      </c>
      <c r="H40" s="95">
        <v>6390</v>
      </c>
      <c r="I40" s="94">
        <f>E40*3 + (G40*6.39)-M40</f>
        <v>-0.62350000000000705</v>
      </c>
      <c r="J40" s="94">
        <v>23.41</v>
      </c>
      <c r="K40" s="94">
        <v>11.14</v>
      </c>
      <c r="L40" s="94">
        <f t="shared" si="0"/>
        <v>133.68</v>
      </c>
      <c r="M40" s="94">
        <f t="shared" si="1"/>
        <v>157.09</v>
      </c>
      <c r="N40" s="94">
        <f>I40+M40</f>
        <v>156.4665</v>
      </c>
      <c r="O40" s="31" t="s">
        <v>162</v>
      </c>
    </row>
    <row r="41" spans="1:15" ht="5.25" customHeight="1" thickBot="1" x14ac:dyDescent="0.4">
      <c r="A41" s="80"/>
      <c r="B41" s="80"/>
      <c r="C41" s="79"/>
      <c r="D41" s="79"/>
      <c r="E41" s="79"/>
      <c r="F41" s="81"/>
      <c r="G41" s="87"/>
      <c r="H41" s="81"/>
      <c r="I41" s="82"/>
      <c r="J41" s="34"/>
      <c r="K41" s="34"/>
      <c r="L41" s="34"/>
      <c r="M41" s="34"/>
      <c r="N41" s="79"/>
      <c r="O41" s="29"/>
    </row>
    <row r="42" spans="1:15" customFormat="1" ht="36.75" customHeight="1" thickBot="1" x14ac:dyDescent="0.4">
      <c r="A42" s="46" t="s">
        <v>21</v>
      </c>
      <c r="B42" s="46" t="s">
        <v>3</v>
      </c>
      <c r="C42" s="47"/>
      <c r="D42" s="47">
        <f>0.3*J42</f>
        <v>7.0229999999999997</v>
      </c>
      <c r="E42" s="47">
        <f>0.3*K42</f>
        <v>3.3420000000000001</v>
      </c>
      <c r="F42" s="48">
        <v>1000</v>
      </c>
      <c r="G42" s="46"/>
      <c r="H42" s="48"/>
      <c r="I42" s="47">
        <f>D42 +(E42*12)</f>
        <v>47.126999999999995</v>
      </c>
      <c r="J42" s="47">
        <v>23.41</v>
      </c>
      <c r="K42" s="47">
        <v>11.14</v>
      </c>
      <c r="L42" s="47">
        <f t="shared" si="0"/>
        <v>133.68</v>
      </c>
      <c r="M42" s="47">
        <f t="shared" si="1"/>
        <v>157.09</v>
      </c>
      <c r="N42" s="47">
        <f>I42+M42</f>
        <v>204.21699999999998</v>
      </c>
      <c r="O42" s="29" t="s">
        <v>85</v>
      </c>
    </row>
    <row r="43" spans="1:15" customFormat="1" ht="5.25" customHeight="1" thickBot="1" x14ac:dyDescent="0.4">
      <c r="A43" s="80"/>
      <c r="B43" s="80"/>
      <c r="C43" s="79"/>
      <c r="D43" s="79"/>
      <c r="E43" s="79"/>
      <c r="F43" s="81"/>
      <c r="G43" s="80"/>
      <c r="H43" s="81"/>
      <c r="I43" s="82"/>
      <c r="J43" s="34"/>
      <c r="K43" s="34"/>
      <c r="L43" s="34"/>
      <c r="M43" s="34"/>
      <c r="N43" s="79"/>
      <c r="O43" s="31"/>
    </row>
    <row r="44" spans="1:15" s="19" customFormat="1" ht="35.15" customHeight="1" thickBot="1" x14ac:dyDescent="0.4">
      <c r="A44" s="46" t="s">
        <v>213</v>
      </c>
      <c r="B44" s="46" t="s">
        <v>3</v>
      </c>
      <c r="C44" s="47" t="s">
        <v>9</v>
      </c>
      <c r="D44" s="47"/>
      <c r="E44" s="47">
        <v>3.5</v>
      </c>
      <c r="F44" s="48">
        <v>1000</v>
      </c>
      <c r="G44" s="46"/>
      <c r="H44" s="48"/>
      <c r="I44" s="47">
        <f>E44*12</f>
        <v>42</v>
      </c>
      <c r="J44" s="47">
        <v>23.41</v>
      </c>
      <c r="K44" s="47">
        <v>11.14</v>
      </c>
      <c r="L44" s="47">
        <f t="shared" si="0"/>
        <v>133.68</v>
      </c>
      <c r="M44" s="47">
        <f t="shared" si="1"/>
        <v>157.09</v>
      </c>
      <c r="N44" s="47">
        <f>I44+M44</f>
        <v>199.09</v>
      </c>
      <c r="O44" s="29" t="s">
        <v>86</v>
      </c>
    </row>
    <row r="45" spans="1:15" s="19" customFormat="1" ht="5.25" customHeight="1" thickBot="1" x14ac:dyDescent="0.4">
      <c r="A45" s="80"/>
      <c r="B45" s="80"/>
      <c r="C45" s="79"/>
      <c r="D45" s="79"/>
      <c r="E45" s="79"/>
      <c r="F45" s="81"/>
      <c r="G45" s="80"/>
      <c r="H45" s="81"/>
      <c r="I45" s="82"/>
      <c r="J45" s="34"/>
      <c r="K45" s="34"/>
      <c r="L45" s="34"/>
      <c r="M45" s="34"/>
      <c r="N45" s="79"/>
      <c r="O45" s="29"/>
    </row>
    <row r="46" spans="1:15" s="18" customFormat="1" ht="35.15" customHeight="1" thickBot="1" x14ac:dyDescent="0.4">
      <c r="A46" s="93" t="s">
        <v>214</v>
      </c>
      <c r="B46" s="93" t="s">
        <v>4</v>
      </c>
      <c r="C46" s="93"/>
      <c r="D46" s="94">
        <v>18</v>
      </c>
      <c r="E46" s="94">
        <f>6*6</f>
        <v>36</v>
      </c>
      <c r="F46" s="93">
        <v>6000</v>
      </c>
      <c r="G46" s="96">
        <v>6</v>
      </c>
      <c r="H46" s="93">
        <v>6001</v>
      </c>
      <c r="I46" s="94">
        <f>D46+ E46+G46*6</f>
        <v>90</v>
      </c>
      <c r="J46" s="94">
        <v>23.41</v>
      </c>
      <c r="K46" s="94">
        <v>11.14</v>
      </c>
      <c r="L46" s="94">
        <f t="shared" si="0"/>
        <v>133.68</v>
      </c>
      <c r="M46" s="94">
        <f t="shared" si="1"/>
        <v>157.09</v>
      </c>
      <c r="N46" s="97">
        <f>I46+M46</f>
        <v>247.09</v>
      </c>
      <c r="O46" s="31" t="s">
        <v>101</v>
      </c>
    </row>
    <row r="47" spans="1:15" s="18" customFormat="1" ht="5.25" customHeight="1" thickBot="1" x14ac:dyDescent="0.4">
      <c r="A47" s="80"/>
      <c r="B47" s="80"/>
      <c r="C47" s="80"/>
      <c r="D47" s="79"/>
      <c r="E47" s="79"/>
      <c r="F47" s="80"/>
      <c r="G47" s="88"/>
      <c r="H47" s="80"/>
      <c r="I47" s="82"/>
      <c r="J47" s="34"/>
      <c r="K47" s="34"/>
      <c r="L47" s="34"/>
      <c r="M47" s="35"/>
      <c r="N47" s="89"/>
      <c r="O47" s="30"/>
    </row>
    <row r="48" spans="1:15" ht="35.15" customHeight="1" thickBot="1" x14ac:dyDescent="0.4">
      <c r="A48" s="92" t="s">
        <v>88</v>
      </c>
      <c r="B48" s="51" t="s">
        <v>3</v>
      </c>
      <c r="C48" s="51"/>
      <c r="D48" s="51"/>
      <c r="E48" s="51">
        <v>2.85</v>
      </c>
      <c r="F48" s="52">
        <v>1000</v>
      </c>
      <c r="G48" s="51"/>
      <c r="H48" s="51"/>
      <c r="I48" s="53">
        <f>D48 +(E48*12)</f>
        <v>34.200000000000003</v>
      </c>
      <c r="J48" s="47">
        <v>23.41</v>
      </c>
      <c r="K48" s="47">
        <v>11.14</v>
      </c>
      <c r="L48" s="47">
        <f t="shared" si="0"/>
        <v>133.68</v>
      </c>
      <c r="M48" s="53">
        <f t="shared" si="1"/>
        <v>157.09</v>
      </c>
      <c r="N48" s="53">
        <f>I48+M48</f>
        <v>191.29000000000002</v>
      </c>
      <c r="O48" s="30" t="s">
        <v>87</v>
      </c>
    </row>
    <row r="49" spans="1:15" ht="5.25" customHeight="1" thickBot="1" x14ac:dyDescent="0.4">
      <c r="A49" s="88"/>
      <c r="B49" s="88"/>
      <c r="C49" s="88"/>
      <c r="D49" s="88"/>
      <c r="E49" s="88"/>
      <c r="F49" s="90"/>
      <c r="G49" s="88"/>
      <c r="H49" s="88"/>
      <c r="I49" s="82"/>
      <c r="J49" s="34"/>
      <c r="K49" s="34"/>
      <c r="L49" s="34"/>
      <c r="M49" s="39"/>
      <c r="N49" s="91"/>
      <c r="O49" s="29"/>
    </row>
    <row r="50" spans="1:15" ht="40.5" customHeight="1" thickBot="1" x14ac:dyDescent="0.4">
      <c r="A50" s="46" t="s">
        <v>65</v>
      </c>
      <c r="B50" s="46" t="s">
        <v>4</v>
      </c>
      <c r="C50" s="47"/>
      <c r="D50" s="47">
        <f>28.39-J50</f>
        <v>4.9800000000000004</v>
      </c>
      <c r="E50" s="47">
        <f>14.17-K50</f>
        <v>3.0299999999999994</v>
      </c>
      <c r="F50" s="48">
        <v>1000</v>
      </c>
      <c r="G50" s="47"/>
      <c r="H50" s="48"/>
      <c r="I50" s="47">
        <f>D50 +(E50*12)</f>
        <v>41.339999999999989</v>
      </c>
      <c r="J50" s="47">
        <v>23.41</v>
      </c>
      <c r="K50" s="47">
        <v>11.14</v>
      </c>
      <c r="L50" s="47">
        <f t="shared" si="0"/>
        <v>133.68</v>
      </c>
      <c r="M50" s="47">
        <f t="shared" si="1"/>
        <v>157.09</v>
      </c>
      <c r="N50" s="47">
        <f>I50+M50</f>
        <v>198.43</v>
      </c>
      <c r="O50" s="29" t="s">
        <v>98</v>
      </c>
    </row>
    <row r="51" spans="1:15" ht="5.25" customHeight="1" thickBot="1" x14ac:dyDescent="0.4">
      <c r="A51" s="80"/>
      <c r="B51" s="80"/>
      <c r="C51" s="79"/>
      <c r="D51" s="79"/>
      <c r="E51" s="79"/>
      <c r="F51" s="81"/>
      <c r="G51" s="79"/>
      <c r="H51" s="81"/>
      <c r="I51" s="82"/>
      <c r="J51" s="34"/>
      <c r="K51" s="34"/>
      <c r="L51" s="34"/>
      <c r="M51" s="34"/>
      <c r="N51" s="79"/>
      <c r="O51" s="29"/>
    </row>
    <row r="52" spans="1:15" ht="35.15" customHeight="1" thickBot="1" x14ac:dyDescent="0.4">
      <c r="A52" s="46" t="s">
        <v>16</v>
      </c>
      <c r="B52" s="46" t="s">
        <v>4</v>
      </c>
      <c r="C52" s="47"/>
      <c r="D52" s="47">
        <v>19.11</v>
      </c>
      <c r="E52" s="47">
        <f>164.62-J52-(K52*10)</f>
        <v>29.810000000000002</v>
      </c>
      <c r="F52" s="48">
        <v>10000</v>
      </c>
      <c r="G52" s="47">
        <v>1.75</v>
      </c>
      <c r="H52" s="48">
        <v>10001</v>
      </c>
      <c r="I52" s="47">
        <f>D52+E52+(G52*2)</f>
        <v>52.42</v>
      </c>
      <c r="J52" s="47">
        <v>23.41</v>
      </c>
      <c r="K52" s="47">
        <v>11.14</v>
      </c>
      <c r="L52" s="47">
        <f t="shared" si="0"/>
        <v>133.68</v>
      </c>
      <c r="M52" s="47">
        <f t="shared" si="1"/>
        <v>157.09</v>
      </c>
      <c r="N52" s="47">
        <f>I52+M52</f>
        <v>209.51</v>
      </c>
      <c r="O52" s="29" t="s">
        <v>99</v>
      </c>
    </row>
    <row r="53" spans="1:15" ht="5.25" customHeight="1" thickBot="1" x14ac:dyDescent="0.4">
      <c r="A53" s="80"/>
      <c r="B53" s="80"/>
      <c r="C53" s="79"/>
      <c r="D53" s="79"/>
      <c r="E53" s="79"/>
      <c r="F53" s="81"/>
      <c r="G53" s="79"/>
      <c r="H53" s="81"/>
      <c r="I53" s="82"/>
      <c r="J53" s="34"/>
      <c r="K53" s="34"/>
      <c r="L53" s="34"/>
      <c r="M53" s="34"/>
      <c r="N53" s="79"/>
      <c r="O53" s="29"/>
    </row>
    <row r="54" spans="1:15" ht="35.15" customHeight="1" thickBot="1" x14ac:dyDescent="0.4">
      <c r="A54" s="46" t="s">
        <v>215</v>
      </c>
      <c r="B54" s="51" t="s">
        <v>3</v>
      </c>
      <c r="C54" s="47"/>
      <c r="D54" s="47"/>
      <c r="E54" s="47">
        <v>5</v>
      </c>
      <c r="F54" s="48">
        <v>1000</v>
      </c>
      <c r="G54" s="47">
        <v>2.5</v>
      </c>
      <c r="H54" s="48">
        <v>2001</v>
      </c>
      <c r="I54" s="47">
        <f>D54 +(E54*3) +(G54*9)</f>
        <v>37.5</v>
      </c>
      <c r="J54" s="47">
        <v>23.41</v>
      </c>
      <c r="K54" s="47">
        <v>11.14</v>
      </c>
      <c r="L54" s="47">
        <f t="shared" si="0"/>
        <v>133.68</v>
      </c>
      <c r="M54" s="47">
        <f t="shared" si="1"/>
        <v>157.09</v>
      </c>
      <c r="N54" s="47">
        <f>I54+M54</f>
        <v>194.59</v>
      </c>
      <c r="O54" s="29" t="s">
        <v>89</v>
      </c>
    </row>
    <row r="55" spans="1:15" ht="5.25" customHeight="1" thickBot="1" x14ac:dyDescent="0.4">
      <c r="A55" s="80"/>
      <c r="B55" s="88"/>
      <c r="C55" s="79"/>
      <c r="D55" s="79"/>
      <c r="E55" s="79"/>
      <c r="F55" s="81"/>
      <c r="G55" s="79"/>
      <c r="H55" s="81"/>
      <c r="I55" s="82"/>
      <c r="J55" s="34"/>
      <c r="K55" s="34"/>
      <c r="L55" s="34"/>
      <c r="M55" s="34"/>
      <c r="N55" s="79"/>
      <c r="O55" s="29"/>
    </row>
    <row r="56" spans="1:15" ht="35.15" customHeight="1" thickBot="1" x14ac:dyDescent="0.4">
      <c r="A56" s="46" t="s">
        <v>216</v>
      </c>
      <c r="B56" s="51" t="s">
        <v>3</v>
      </c>
      <c r="C56" s="47"/>
      <c r="D56" s="47"/>
      <c r="E56" s="47">
        <v>1.75</v>
      </c>
      <c r="F56" s="48">
        <v>1000</v>
      </c>
      <c r="G56" s="46"/>
      <c r="H56" s="48"/>
      <c r="I56" s="47">
        <f>D56 +(E56*12)</f>
        <v>21</v>
      </c>
      <c r="J56" s="47">
        <v>23.41</v>
      </c>
      <c r="K56" s="47">
        <v>11.14</v>
      </c>
      <c r="L56" s="47">
        <f t="shared" si="0"/>
        <v>133.68</v>
      </c>
      <c r="M56" s="47">
        <f t="shared" si="1"/>
        <v>157.09</v>
      </c>
      <c r="N56" s="47">
        <f>I56+M56</f>
        <v>178.09</v>
      </c>
      <c r="O56" s="29" t="s">
        <v>90</v>
      </c>
    </row>
    <row r="57" spans="1:15" ht="5.25" customHeight="1" thickBot="1" x14ac:dyDescent="0.4">
      <c r="A57" s="80"/>
      <c r="B57" s="88"/>
      <c r="C57" s="79"/>
      <c r="D57" s="79"/>
      <c r="E57" s="79"/>
      <c r="F57" s="81"/>
      <c r="G57" s="80"/>
      <c r="H57" s="81"/>
      <c r="I57" s="82"/>
      <c r="J57" s="34"/>
      <c r="K57" s="34"/>
      <c r="L57" s="34"/>
      <c r="M57" s="34"/>
      <c r="N57" s="79"/>
      <c r="O57" s="37"/>
    </row>
    <row r="58" spans="1:15" ht="32.25" customHeight="1" thickBot="1" x14ac:dyDescent="0.4">
      <c r="A58" s="46" t="s">
        <v>47</v>
      </c>
      <c r="B58" s="51" t="s">
        <v>3</v>
      </c>
      <c r="C58" s="47"/>
      <c r="D58" s="47"/>
      <c r="E58" s="47">
        <v>3.5</v>
      </c>
      <c r="F58" s="48">
        <v>1000</v>
      </c>
      <c r="G58" s="46"/>
      <c r="H58" s="48"/>
      <c r="I58" s="47">
        <f>D58 +(E58*12)</f>
        <v>42</v>
      </c>
      <c r="J58" s="47">
        <v>23.41</v>
      </c>
      <c r="K58" s="47">
        <v>11.14</v>
      </c>
      <c r="L58" s="47">
        <f t="shared" si="0"/>
        <v>133.68</v>
      </c>
      <c r="M58" s="47">
        <f t="shared" si="1"/>
        <v>157.09</v>
      </c>
      <c r="N58" s="47">
        <f>I58+M58</f>
        <v>199.09</v>
      </c>
      <c r="O58" s="29" t="s">
        <v>91</v>
      </c>
    </row>
    <row r="59" spans="1:15" x14ac:dyDescent="0.35">
      <c r="B59" s="71"/>
      <c r="C59" s="71"/>
      <c r="D59" s="71"/>
      <c r="E59" s="71"/>
      <c r="F59" s="71"/>
      <c r="G59" s="71"/>
      <c r="H59" s="71"/>
      <c r="I59" s="71"/>
      <c r="J59" s="71"/>
      <c r="K59" s="71"/>
      <c r="L59" s="71"/>
      <c r="M59" s="71"/>
      <c r="N59" s="71"/>
      <c r="O59" s="64"/>
    </row>
    <row r="60" spans="1:15" x14ac:dyDescent="0.35">
      <c r="B60" s="9" t="s">
        <v>11</v>
      </c>
      <c r="C60" s="121" t="s">
        <v>38</v>
      </c>
      <c r="D60" s="122"/>
      <c r="E60" s="122"/>
      <c r="F60" s="122"/>
      <c r="G60" s="122"/>
      <c r="H60" s="122"/>
      <c r="I60" s="122"/>
      <c r="J60" s="122"/>
      <c r="K60" s="122"/>
      <c r="L60" s="122"/>
      <c r="M60" s="122"/>
      <c r="N60" s="122"/>
      <c r="O60" s="64"/>
    </row>
    <row r="61" spans="1:15" x14ac:dyDescent="0.35">
      <c r="C61" s="122"/>
      <c r="D61" s="122"/>
      <c r="E61" s="122"/>
      <c r="F61" s="122"/>
      <c r="G61" s="122"/>
      <c r="H61" s="122"/>
      <c r="I61" s="122"/>
      <c r="J61" s="122"/>
      <c r="K61" s="122"/>
      <c r="L61" s="122"/>
      <c r="M61" s="122"/>
      <c r="N61" s="122"/>
      <c r="O61" s="23"/>
    </row>
    <row r="62" spans="1:15" x14ac:dyDescent="0.35">
      <c r="C62" s="70"/>
      <c r="D62" s="70"/>
      <c r="E62" s="70"/>
      <c r="F62" s="70"/>
      <c r="G62" s="70"/>
      <c r="H62" s="70"/>
      <c r="I62" s="70"/>
      <c r="J62" s="78"/>
      <c r="K62" s="78"/>
      <c r="L62" s="78"/>
      <c r="M62" s="78"/>
      <c r="N62" s="70"/>
      <c r="O62" s="23"/>
    </row>
    <row r="63" spans="1:15" ht="32.25" customHeight="1" x14ac:dyDescent="0.35">
      <c r="C63" s="121" t="s">
        <v>39</v>
      </c>
      <c r="D63" s="122"/>
      <c r="E63" s="122"/>
      <c r="F63" s="122"/>
      <c r="G63" s="122"/>
      <c r="H63" s="122"/>
      <c r="I63" s="122"/>
      <c r="J63" s="122"/>
      <c r="K63" s="122"/>
      <c r="L63" s="122"/>
      <c r="M63" s="122"/>
      <c r="N63" s="122"/>
      <c r="O63" s="64"/>
    </row>
    <row r="64" spans="1:15" x14ac:dyDescent="0.35">
      <c r="O64" s="65"/>
    </row>
    <row r="65" spans="3:15" x14ac:dyDescent="0.35">
      <c r="C65" s="123" t="s">
        <v>42</v>
      </c>
      <c r="D65" s="124"/>
      <c r="E65" s="124"/>
      <c r="F65" s="124"/>
      <c r="G65" s="124"/>
      <c r="H65" s="124"/>
      <c r="I65" s="124"/>
      <c r="J65" s="124"/>
      <c r="K65" s="124"/>
      <c r="L65" s="124"/>
      <c r="M65" s="124"/>
      <c r="N65" s="124"/>
      <c r="O65" s="65"/>
    </row>
    <row r="66" spans="3:15" x14ac:dyDescent="0.35">
      <c r="O66" s="65"/>
    </row>
    <row r="67" spans="3:15" x14ac:dyDescent="0.35">
      <c r="C67" s="123"/>
      <c r="D67" s="124"/>
      <c r="E67" s="124"/>
      <c r="F67" s="124"/>
      <c r="G67" s="124"/>
      <c r="H67" s="124"/>
      <c r="I67" s="124"/>
      <c r="J67" s="124"/>
      <c r="K67" s="124"/>
      <c r="L67" s="124"/>
      <c r="M67" s="124"/>
      <c r="N67" s="124"/>
      <c r="O67" s="65"/>
    </row>
    <row r="68" spans="3:15" x14ac:dyDescent="0.35">
      <c r="O68" s="65"/>
    </row>
    <row r="69" spans="3:15" x14ac:dyDescent="0.35">
      <c r="O69" s="65"/>
    </row>
    <row r="70" spans="3:15" x14ac:dyDescent="0.35">
      <c r="O70" s="65"/>
    </row>
    <row r="71" spans="3:15" x14ac:dyDescent="0.35">
      <c r="O71" s="65"/>
    </row>
    <row r="72" spans="3:15" x14ac:dyDescent="0.35">
      <c r="O72" s="65"/>
    </row>
    <row r="73" spans="3:15" x14ac:dyDescent="0.35">
      <c r="O73" s="65"/>
    </row>
    <row r="74" spans="3:15" x14ac:dyDescent="0.35">
      <c r="O74" s="65"/>
    </row>
    <row r="75" spans="3:15" x14ac:dyDescent="0.35">
      <c r="O75" s="65"/>
    </row>
    <row r="76" spans="3:15" x14ac:dyDescent="0.35">
      <c r="O76" s="65"/>
    </row>
    <row r="77" spans="3:15" x14ac:dyDescent="0.35">
      <c r="O77" s="65"/>
    </row>
    <row r="78" spans="3:15" x14ac:dyDescent="0.35">
      <c r="O78" s="65"/>
    </row>
    <row r="79" spans="3:15" x14ac:dyDescent="0.35">
      <c r="O79" s="65"/>
    </row>
    <row r="80" spans="3:15" x14ac:dyDescent="0.35">
      <c r="O80" s="65"/>
    </row>
    <row r="81" spans="15:15" x14ac:dyDescent="0.35">
      <c r="O81" s="65"/>
    </row>
    <row r="82" spans="15:15" x14ac:dyDescent="0.35">
      <c r="O82" s="65"/>
    </row>
  </sheetData>
  <sheetProtection algorithmName="SHA-512" hashValue="J27SlT4wBrC6j2jeErOzVG60AVyozsxmgOsHXmb7X/PpnTfVnZkf8mDPVp+VAFwZ01Y8w+K6/0QQJvjFmMcFMQ==" saltValue="oRIgug1MDNnwLzMmD6QeCw==" spinCount="100000" sheet="1" objects="1" scenarios="1"/>
  <mergeCells count="5">
    <mergeCell ref="C6:D6"/>
    <mergeCell ref="C60:N61"/>
    <mergeCell ref="C63:N63"/>
    <mergeCell ref="C65:N65"/>
    <mergeCell ref="C67:N67"/>
  </mergeCells>
  <pageMargins left="0.7" right="0.7" top="0.75" bottom="0.75" header="0.3" footer="0.3"/>
  <pageSetup paperSize="17"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89"/>
  <sheetViews>
    <sheetView topLeftCell="A6" zoomScaleNormal="100" workbookViewId="0">
      <pane xSplit="2" topLeftCell="C1" activePane="topRight" state="frozen"/>
      <selection activeCell="A37" sqref="A37"/>
      <selection pane="topRight" activeCell="E11" sqref="E11"/>
    </sheetView>
  </sheetViews>
  <sheetFormatPr defaultColWidth="9.1796875" defaultRowHeight="14.5" x14ac:dyDescent="0.35"/>
  <cols>
    <col min="1" max="1" width="18.1796875" style="4" customWidth="1"/>
    <col min="2" max="2" width="11.26953125" style="4" customWidth="1"/>
    <col min="3" max="3" width="8.26953125" style="4" customWidth="1"/>
    <col min="4" max="4" width="8.54296875" style="4" customWidth="1"/>
    <col min="5" max="7" width="9" style="4" customWidth="1"/>
    <col min="8" max="8" width="8.453125" style="4" customWidth="1"/>
    <col min="9" max="9" width="14.54296875" style="4" customWidth="1"/>
    <col min="10" max="10" width="10.7265625" style="4" customWidth="1"/>
    <col min="11" max="11" width="10" style="4" customWidth="1"/>
    <col min="12" max="12" width="13" style="4" customWidth="1"/>
    <col min="13" max="13" width="13.1796875" style="4" customWidth="1"/>
    <col min="14" max="14" width="19.7265625" style="4" customWidth="1"/>
    <col min="15" max="15" width="41.453125" style="6" hidden="1" customWidth="1"/>
    <col min="16" max="16384" width="9.1796875" style="4"/>
  </cols>
  <sheetData>
    <row r="1" spans="1:15" ht="18.5" x14ac:dyDescent="0.45">
      <c r="A1" s="7" t="s">
        <v>76</v>
      </c>
    </row>
    <row r="2" spans="1:15" ht="15.5" x14ac:dyDescent="0.35">
      <c r="A2" s="40" t="s">
        <v>13</v>
      </c>
      <c r="D2" s="1"/>
    </row>
    <row r="3" spans="1:15" x14ac:dyDescent="0.35">
      <c r="A3" s="4" t="s">
        <v>29</v>
      </c>
      <c r="C3" s="1"/>
    </row>
    <row r="4" spans="1:15" x14ac:dyDescent="0.35">
      <c r="A4" s="4" t="s">
        <v>33</v>
      </c>
      <c r="D4" s="1"/>
      <c r="E4" s="1"/>
    </row>
    <row r="5" spans="1:15" ht="15" thickBot="1" x14ac:dyDescent="0.4">
      <c r="D5" s="1"/>
      <c r="E5" s="1"/>
    </row>
    <row r="6" spans="1:15" ht="57.75" customHeight="1" thickBot="1" x14ac:dyDescent="0.4">
      <c r="A6" s="66" t="s">
        <v>26</v>
      </c>
      <c r="B6" s="66" t="s">
        <v>41</v>
      </c>
      <c r="C6" s="128" t="s">
        <v>36</v>
      </c>
      <c r="D6" s="129"/>
      <c r="E6" s="67" t="s">
        <v>18</v>
      </c>
      <c r="F6" s="67"/>
      <c r="G6" s="67" t="s">
        <v>40</v>
      </c>
      <c r="H6" s="67"/>
      <c r="I6" s="66" t="s">
        <v>69</v>
      </c>
      <c r="J6" s="66" t="s">
        <v>23</v>
      </c>
      <c r="K6" s="66" t="s">
        <v>24</v>
      </c>
      <c r="L6" s="66" t="s">
        <v>2</v>
      </c>
      <c r="M6" s="66" t="s">
        <v>68</v>
      </c>
      <c r="N6" s="66" t="s">
        <v>31</v>
      </c>
      <c r="O6" s="16" t="s">
        <v>32</v>
      </c>
    </row>
    <row r="7" spans="1:15" ht="40" customHeight="1" thickBot="1" x14ac:dyDescent="0.4">
      <c r="A7" s="68"/>
      <c r="B7" s="68"/>
      <c r="C7" s="67" t="s">
        <v>3</v>
      </c>
      <c r="D7" s="67" t="s">
        <v>4</v>
      </c>
      <c r="E7" s="67" t="s">
        <v>5</v>
      </c>
      <c r="F7" s="67" t="s">
        <v>6</v>
      </c>
      <c r="G7" s="67" t="s">
        <v>5</v>
      </c>
      <c r="H7" s="67" t="s">
        <v>7</v>
      </c>
      <c r="I7" s="69" t="s">
        <v>70</v>
      </c>
      <c r="J7" s="69" t="s">
        <v>71</v>
      </c>
      <c r="K7" s="69" t="s">
        <v>25</v>
      </c>
      <c r="L7" s="69" t="s">
        <v>34</v>
      </c>
      <c r="M7" s="69" t="s">
        <v>34</v>
      </c>
      <c r="N7" s="69" t="s">
        <v>34</v>
      </c>
      <c r="O7" s="17"/>
    </row>
    <row r="8" spans="1:15" s="13" customFormat="1" ht="38.15" customHeight="1" thickBot="1" x14ac:dyDescent="0.4">
      <c r="A8" s="54" t="s">
        <v>183</v>
      </c>
      <c r="B8" s="55" t="s">
        <v>3</v>
      </c>
      <c r="C8" s="47">
        <f>15.75-(J8/3)</f>
        <v>7.9466666666666663</v>
      </c>
      <c r="D8" s="47"/>
      <c r="E8" s="47">
        <f>13.52-K8</f>
        <v>2.379999999999999</v>
      </c>
      <c r="F8" s="48">
        <v>1000</v>
      </c>
      <c r="G8" s="47"/>
      <c r="H8" s="48"/>
      <c r="I8" s="48">
        <f>(C8*3)+(E8*12)</f>
        <v>52.399999999999991</v>
      </c>
      <c r="J8" s="47">
        <v>23.41</v>
      </c>
      <c r="K8" s="47">
        <v>11.14</v>
      </c>
      <c r="L8" s="47">
        <f>K8*12</f>
        <v>133.68</v>
      </c>
      <c r="M8" s="47">
        <f>J8+L8</f>
        <v>157.09</v>
      </c>
      <c r="N8" s="47">
        <f>I8+M8</f>
        <v>209.49</v>
      </c>
      <c r="O8" s="28" t="s">
        <v>102</v>
      </c>
    </row>
    <row r="9" spans="1:15" s="13" customFormat="1" ht="5.25" customHeight="1" thickBot="1" x14ac:dyDescent="0.4">
      <c r="A9" s="99"/>
      <c r="B9" s="100"/>
      <c r="C9" s="101"/>
      <c r="D9" s="101"/>
      <c r="E9" s="101"/>
      <c r="F9" s="102"/>
      <c r="G9" s="101"/>
      <c r="H9" s="102"/>
      <c r="I9" s="101"/>
      <c r="J9" s="101"/>
      <c r="K9" s="101"/>
      <c r="L9" s="101"/>
      <c r="M9" s="101"/>
      <c r="N9" s="101"/>
      <c r="O9" s="98"/>
    </row>
    <row r="10" spans="1:15" ht="38.15" customHeight="1" thickBot="1" x14ac:dyDescent="0.4">
      <c r="A10" s="56" t="s">
        <v>184</v>
      </c>
      <c r="B10" s="46" t="s">
        <v>3</v>
      </c>
      <c r="C10" s="47"/>
      <c r="D10" s="47"/>
      <c r="E10" s="47">
        <f>5.5</f>
        <v>5.5</v>
      </c>
      <c r="F10" s="48">
        <v>1000</v>
      </c>
      <c r="G10" s="47"/>
      <c r="H10" s="48"/>
      <c r="I10" s="48">
        <f>(C10*3)+(E10*12)</f>
        <v>66</v>
      </c>
      <c r="J10" s="47">
        <v>23.41</v>
      </c>
      <c r="K10" s="47">
        <v>11.14</v>
      </c>
      <c r="L10" s="47">
        <f t="shared" ref="L10:L78" si="0">K10*12</f>
        <v>133.68</v>
      </c>
      <c r="M10" s="47">
        <f t="shared" ref="M10:M78" si="1">J10+L10</f>
        <v>157.09</v>
      </c>
      <c r="N10" s="47">
        <f>I10+M10</f>
        <v>223.09</v>
      </c>
      <c r="O10" s="28" t="s">
        <v>103</v>
      </c>
    </row>
    <row r="11" spans="1:15" ht="5.25" customHeight="1" thickBot="1" x14ac:dyDescent="0.4">
      <c r="A11" s="103"/>
      <c r="B11" s="104"/>
      <c r="C11" s="101"/>
      <c r="D11" s="101"/>
      <c r="E11" s="101"/>
      <c r="F11" s="102"/>
      <c r="G11" s="101"/>
      <c r="H11" s="102"/>
      <c r="I11" s="101"/>
      <c r="J11" s="101"/>
      <c r="K11" s="101"/>
      <c r="L11" s="101"/>
      <c r="M11" s="101"/>
      <c r="N11" s="101"/>
      <c r="O11" s="98"/>
    </row>
    <row r="12" spans="1:15" s="13" customFormat="1" ht="38.15" customHeight="1" thickBot="1" x14ac:dyDescent="0.4">
      <c r="A12" s="56" t="s">
        <v>185</v>
      </c>
      <c r="B12" s="46" t="s">
        <v>3</v>
      </c>
      <c r="C12" s="47">
        <f>15-(J12/3)</f>
        <v>7.1966666666666663</v>
      </c>
      <c r="D12" s="47" t="s">
        <v>9</v>
      </c>
      <c r="E12" s="47">
        <f>9-K12</f>
        <v>-2.1400000000000006</v>
      </c>
      <c r="F12" s="48">
        <v>1000</v>
      </c>
      <c r="G12" s="47"/>
      <c r="H12" s="48"/>
      <c r="I12" s="48">
        <f>(C12*3)+(E12*12)</f>
        <v>-4.090000000000007</v>
      </c>
      <c r="J12" s="47">
        <v>23.41</v>
      </c>
      <c r="K12" s="47">
        <v>11.14</v>
      </c>
      <c r="L12" s="47">
        <f t="shared" si="0"/>
        <v>133.68</v>
      </c>
      <c r="M12" s="47">
        <f t="shared" si="1"/>
        <v>157.09</v>
      </c>
      <c r="N12" s="47">
        <f>I12+M12</f>
        <v>153</v>
      </c>
      <c r="O12" s="28" t="s">
        <v>104</v>
      </c>
    </row>
    <row r="13" spans="1:15" s="13" customFormat="1" ht="5.25" customHeight="1" thickBot="1" x14ac:dyDescent="0.4">
      <c r="A13" s="103"/>
      <c r="B13" s="104"/>
      <c r="C13" s="101"/>
      <c r="D13" s="101"/>
      <c r="E13" s="101"/>
      <c r="F13" s="102"/>
      <c r="G13" s="101"/>
      <c r="H13" s="102"/>
      <c r="I13" s="101"/>
      <c r="J13" s="101"/>
      <c r="K13" s="101"/>
      <c r="L13" s="101"/>
      <c r="M13" s="101"/>
      <c r="N13" s="101"/>
      <c r="O13" s="98"/>
    </row>
    <row r="14" spans="1:15" ht="38.15" customHeight="1" thickBot="1" x14ac:dyDescent="0.4">
      <c r="A14" s="56" t="s">
        <v>186</v>
      </c>
      <c r="B14" s="46" t="s">
        <v>3</v>
      </c>
      <c r="C14" s="47">
        <v>4.57</v>
      </c>
      <c r="D14" s="47"/>
      <c r="E14" s="47">
        <v>8.91</v>
      </c>
      <c r="F14" s="48">
        <v>1000</v>
      </c>
      <c r="G14" s="47"/>
      <c r="H14" s="48"/>
      <c r="I14" s="48">
        <f>(C14*3)+(E14*12)</f>
        <v>120.63</v>
      </c>
      <c r="J14" s="47">
        <v>23.41</v>
      </c>
      <c r="K14" s="47">
        <v>11.14</v>
      </c>
      <c r="L14" s="47">
        <f t="shared" si="0"/>
        <v>133.68</v>
      </c>
      <c r="M14" s="47">
        <f t="shared" si="1"/>
        <v>157.09</v>
      </c>
      <c r="N14" s="47">
        <f>I14+M14</f>
        <v>277.72000000000003</v>
      </c>
      <c r="O14" s="28" t="s">
        <v>105</v>
      </c>
    </row>
    <row r="15" spans="1:15" ht="5.25" customHeight="1" thickBot="1" x14ac:dyDescent="0.4">
      <c r="A15" s="103"/>
      <c r="B15" s="104"/>
      <c r="C15" s="101"/>
      <c r="D15" s="101"/>
      <c r="E15" s="101"/>
      <c r="F15" s="102"/>
      <c r="G15" s="101"/>
      <c r="H15" s="102"/>
      <c r="I15" s="101"/>
      <c r="J15" s="101"/>
      <c r="K15" s="101"/>
      <c r="L15" s="101"/>
      <c r="M15" s="101"/>
      <c r="N15" s="101"/>
      <c r="O15" s="98"/>
    </row>
    <row r="16" spans="1:15" ht="38.15" customHeight="1" thickBot="1" x14ac:dyDescent="0.4">
      <c r="A16" s="56" t="s">
        <v>187</v>
      </c>
      <c r="B16" s="46" t="s">
        <v>3</v>
      </c>
      <c r="C16" s="47"/>
      <c r="D16" s="47" t="s">
        <v>9</v>
      </c>
      <c r="E16" s="47">
        <v>6.73</v>
      </c>
      <c r="F16" s="48">
        <v>1000</v>
      </c>
      <c r="G16" s="47"/>
      <c r="H16" s="48"/>
      <c r="I16" s="48">
        <f>(C16*3)+(E16*12)</f>
        <v>80.760000000000005</v>
      </c>
      <c r="J16" s="47">
        <v>23.41</v>
      </c>
      <c r="K16" s="47">
        <v>11.14</v>
      </c>
      <c r="L16" s="47">
        <f t="shared" si="0"/>
        <v>133.68</v>
      </c>
      <c r="M16" s="47">
        <f t="shared" si="1"/>
        <v>157.09</v>
      </c>
      <c r="N16" s="47">
        <f>I16+M16</f>
        <v>237.85000000000002</v>
      </c>
      <c r="O16" s="28" t="s">
        <v>106</v>
      </c>
    </row>
    <row r="17" spans="1:15" ht="5.25" customHeight="1" thickBot="1" x14ac:dyDescent="0.4">
      <c r="A17" s="103"/>
      <c r="B17" s="104"/>
      <c r="C17" s="101"/>
      <c r="D17" s="101"/>
      <c r="E17" s="101"/>
      <c r="F17" s="102"/>
      <c r="G17" s="101"/>
      <c r="H17" s="102"/>
      <c r="I17" s="101"/>
      <c r="J17" s="101"/>
      <c r="K17" s="101"/>
      <c r="L17" s="101"/>
      <c r="M17" s="101"/>
      <c r="N17" s="101"/>
      <c r="O17" s="98"/>
    </row>
    <row r="18" spans="1:15" ht="38.15" customHeight="1" thickBot="1" x14ac:dyDescent="0.4">
      <c r="A18" s="56" t="s">
        <v>61</v>
      </c>
      <c r="B18" s="46" t="s">
        <v>3</v>
      </c>
      <c r="C18" s="47"/>
      <c r="D18" s="47"/>
      <c r="E18" s="47">
        <f>17.64-K18</f>
        <v>6.5</v>
      </c>
      <c r="F18" s="48">
        <v>1000</v>
      </c>
      <c r="G18" s="47"/>
      <c r="H18" s="48"/>
      <c r="I18" s="48">
        <f t="shared" ref="I18:I30" si="2">(C18*3)+(E18*12)</f>
        <v>78</v>
      </c>
      <c r="J18" s="47">
        <v>23.41</v>
      </c>
      <c r="K18" s="47">
        <v>11.14</v>
      </c>
      <c r="L18" s="47">
        <f t="shared" si="0"/>
        <v>133.68</v>
      </c>
      <c r="M18" s="47">
        <f t="shared" si="1"/>
        <v>157.09</v>
      </c>
      <c r="N18" s="47">
        <f>I18+M18</f>
        <v>235.09</v>
      </c>
      <c r="O18" s="28" t="s">
        <v>107</v>
      </c>
    </row>
    <row r="19" spans="1:15" ht="5.25" customHeight="1" thickBot="1" x14ac:dyDescent="0.4">
      <c r="A19" s="103"/>
      <c r="B19" s="104"/>
      <c r="C19" s="101"/>
      <c r="D19" s="101"/>
      <c r="E19" s="101"/>
      <c r="F19" s="102"/>
      <c r="G19" s="101"/>
      <c r="H19" s="102"/>
      <c r="I19" s="101"/>
      <c r="J19" s="101"/>
      <c r="K19" s="101"/>
      <c r="L19" s="101"/>
      <c r="M19" s="101"/>
      <c r="N19" s="101"/>
      <c r="O19" s="98"/>
    </row>
    <row r="20" spans="1:15" s="13" customFormat="1" ht="35.5" customHeight="1" thickBot="1" x14ac:dyDescent="0.4">
      <c r="A20" s="56" t="s">
        <v>188</v>
      </c>
      <c r="B20" s="46" t="s">
        <v>3</v>
      </c>
      <c r="C20" s="47"/>
      <c r="D20" s="47" t="s">
        <v>9</v>
      </c>
      <c r="E20" s="47">
        <v>8.06</v>
      </c>
      <c r="F20" s="48">
        <v>1000</v>
      </c>
      <c r="G20" s="47"/>
      <c r="H20" s="48"/>
      <c r="I20" s="48">
        <f t="shared" si="2"/>
        <v>96.72</v>
      </c>
      <c r="J20" s="47">
        <v>23.41</v>
      </c>
      <c r="K20" s="47">
        <v>11.14</v>
      </c>
      <c r="L20" s="47">
        <f t="shared" si="0"/>
        <v>133.68</v>
      </c>
      <c r="M20" s="47">
        <f t="shared" si="1"/>
        <v>157.09</v>
      </c>
      <c r="N20" s="47">
        <f>I20+M20</f>
        <v>253.81</v>
      </c>
      <c r="O20" s="28" t="s">
        <v>108</v>
      </c>
    </row>
    <row r="21" spans="1:15" s="13" customFormat="1" ht="5.25" customHeight="1" thickBot="1" x14ac:dyDescent="0.4">
      <c r="A21" s="103"/>
      <c r="B21" s="104"/>
      <c r="C21" s="101"/>
      <c r="D21" s="101"/>
      <c r="E21" s="101"/>
      <c r="F21" s="102"/>
      <c r="G21" s="101"/>
      <c r="H21" s="102"/>
      <c r="I21" s="101"/>
      <c r="J21" s="101"/>
      <c r="K21" s="101"/>
      <c r="L21" s="101"/>
      <c r="M21" s="101"/>
      <c r="N21" s="101"/>
      <c r="O21" s="105"/>
    </row>
    <row r="22" spans="1:15" ht="35.15" customHeight="1" thickBot="1" x14ac:dyDescent="0.4">
      <c r="A22" s="56" t="s">
        <v>45</v>
      </c>
      <c r="B22" s="46" t="s">
        <v>3</v>
      </c>
      <c r="C22" s="47">
        <f>8.64-(J22/3)</f>
        <v>0.83666666666666689</v>
      </c>
      <c r="D22" s="46"/>
      <c r="E22" s="47">
        <f>17.66-K22</f>
        <v>6.52</v>
      </c>
      <c r="F22" s="48">
        <v>1000</v>
      </c>
      <c r="G22" s="47"/>
      <c r="H22" s="48"/>
      <c r="I22" s="48">
        <f t="shared" si="2"/>
        <v>80.75</v>
      </c>
      <c r="J22" s="47">
        <v>23.41</v>
      </c>
      <c r="K22" s="47">
        <v>11.14</v>
      </c>
      <c r="L22" s="47">
        <f t="shared" si="0"/>
        <v>133.68</v>
      </c>
      <c r="M22" s="47">
        <f t="shared" si="1"/>
        <v>157.09</v>
      </c>
      <c r="N22" s="47">
        <f>I22+M22</f>
        <v>237.84</v>
      </c>
      <c r="O22" s="28" t="s">
        <v>109</v>
      </c>
    </row>
    <row r="23" spans="1:15" ht="5.25" customHeight="1" thickBot="1" x14ac:dyDescent="0.4">
      <c r="A23" s="103"/>
      <c r="B23" s="104"/>
      <c r="C23" s="101"/>
      <c r="D23" s="104"/>
      <c r="E23" s="101"/>
      <c r="F23" s="102"/>
      <c r="G23" s="101"/>
      <c r="H23" s="102"/>
      <c r="I23" s="101"/>
      <c r="J23" s="101"/>
      <c r="K23" s="101"/>
      <c r="L23" s="101"/>
      <c r="M23" s="101"/>
      <c r="N23" s="101"/>
      <c r="O23" s="98"/>
    </row>
    <row r="24" spans="1:15" ht="35.15" customHeight="1" thickBot="1" x14ac:dyDescent="0.4">
      <c r="A24" s="56" t="s">
        <v>49</v>
      </c>
      <c r="B24" s="46" t="s">
        <v>3</v>
      </c>
      <c r="C24" s="47">
        <v>3.43</v>
      </c>
      <c r="D24" s="47" t="s">
        <v>9</v>
      </c>
      <c r="E24" s="47">
        <v>11.14</v>
      </c>
      <c r="F24" s="48">
        <v>1000</v>
      </c>
      <c r="G24" s="47"/>
      <c r="H24" s="48"/>
      <c r="I24" s="48">
        <f t="shared" si="2"/>
        <v>143.97</v>
      </c>
      <c r="J24" s="47">
        <v>23.41</v>
      </c>
      <c r="K24" s="47">
        <v>11.14</v>
      </c>
      <c r="L24" s="47">
        <f t="shared" si="0"/>
        <v>133.68</v>
      </c>
      <c r="M24" s="47">
        <f t="shared" si="1"/>
        <v>157.09</v>
      </c>
      <c r="N24" s="47">
        <f>I24+M24</f>
        <v>301.06</v>
      </c>
      <c r="O24" s="28" t="s">
        <v>110</v>
      </c>
    </row>
    <row r="25" spans="1:15" ht="5.25" customHeight="1" thickBot="1" x14ac:dyDescent="0.4">
      <c r="A25" s="103"/>
      <c r="B25" s="104"/>
      <c r="C25" s="101"/>
      <c r="D25" s="101"/>
      <c r="E25" s="101"/>
      <c r="F25" s="102"/>
      <c r="G25" s="101"/>
      <c r="H25" s="102"/>
      <c r="I25" s="101"/>
      <c r="J25" s="101"/>
      <c r="K25" s="101"/>
      <c r="L25" s="101"/>
      <c r="M25" s="101"/>
      <c r="N25" s="101"/>
      <c r="O25" s="98"/>
    </row>
    <row r="26" spans="1:15" ht="35.15" customHeight="1" thickBot="1" x14ac:dyDescent="0.4">
      <c r="A26" s="56" t="s">
        <v>189</v>
      </c>
      <c r="B26" s="46" t="s">
        <v>3</v>
      </c>
      <c r="C26" s="47"/>
      <c r="D26" s="47" t="s">
        <v>9</v>
      </c>
      <c r="E26" s="47">
        <v>4.5</v>
      </c>
      <c r="F26" s="48">
        <v>1000</v>
      </c>
      <c r="G26" s="47"/>
      <c r="H26" s="48"/>
      <c r="I26" s="48">
        <f t="shared" si="2"/>
        <v>54</v>
      </c>
      <c r="J26" s="47">
        <v>23.41</v>
      </c>
      <c r="K26" s="47">
        <v>11.14</v>
      </c>
      <c r="L26" s="47">
        <f t="shared" si="0"/>
        <v>133.68</v>
      </c>
      <c r="M26" s="47">
        <f t="shared" si="1"/>
        <v>157.09</v>
      </c>
      <c r="N26" s="47">
        <f>I26+M26</f>
        <v>211.09</v>
      </c>
      <c r="O26" s="28" t="s">
        <v>111</v>
      </c>
    </row>
    <row r="27" spans="1:15" ht="5.25" customHeight="1" thickBot="1" x14ac:dyDescent="0.4">
      <c r="A27" s="44"/>
      <c r="B27" s="41"/>
      <c r="C27" s="42"/>
      <c r="D27" s="42"/>
      <c r="E27" s="42"/>
      <c r="F27" s="43"/>
      <c r="G27" s="42"/>
      <c r="H27" s="43"/>
      <c r="I27" s="101"/>
      <c r="J27" s="42"/>
      <c r="K27" s="42"/>
      <c r="L27" s="42"/>
      <c r="M27" s="42"/>
      <c r="N27" s="42"/>
      <c r="O27" s="28"/>
    </row>
    <row r="28" spans="1:15" s="13" customFormat="1" ht="35.15" customHeight="1" thickBot="1" x14ac:dyDescent="0.4">
      <c r="A28" s="56" t="s">
        <v>113</v>
      </c>
      <c r="B28" s="46" t="s">
        <v>3</v>
      </c>
      <c r="C28" s="47"/>
      <c r="D28" s="47" t="s">
        <v>9</v>
      </c>
      <c r="E28" s="47">
        <v>6.5</v>
      </c>
      <c r="F28" s="48">
        <v>1000</v>
      </c>
      <c r="G28" s="47"/>
      <c r="H28" s="48"/>
      <c r="I28" s="48">
        <f t="shared" si="2"/>
        <v>78</v>
      </c>
      <c r="J28" s="47">
        <v>23.41</v>
      </c>
      <c r="K28" s="47">
        <v>11.14</v>
      </c>
      <c r="L28" s="47">
        <f t="shared" si="0"/>
        <v>133.68</v>
      </c>
      <c r="M28" s="47">
        <f t="shared" si="1"/>
        <v>157.09</v>
      </c>
      <c r="N28" s="47">
        <f>I28+M28</f>
        <v>235.09</v>
      </c>
      <c r="O28" s="28" t="s">
        <v>112</v>
      </c>
    </row>
    <row r="29" spans="1:15" s="13" customFormat="1" ht="5.25" customHeight="1" thickBot="1" x14ac:dyDescent="0.4">
      <c r="A29" s="103"/>
      <c r="B29" s="104"/>
      <c r="C29" s="101"/>
      <c r="D29" s="101"/>
      <c r="E29" s="101"/>
      <c r="F29" s="102"/>
      <c r="G29" s="101"/>
      <c r="H29" s="102"/>
      <c r="I29" s="101"/>
      <c r="J29" s="101"/>
      <c r="K29" s="101"/>
      <c r="L29" s="101"/>
      <c r="M29" s="101"/>
      <c r="N29" s="101"/>
      <c r="O29" s="105"/>
    </row>
    <row r="30" spans="1:15" ht="35.15" customHeight="1" thickBot="1" x14ac:dyDescent="0.4">
      <c r="A30" s="56" t="s">
        <v>190</v>
      </c>
      <c r="B30" s="46" t="s">
        <v>3</v>
      </c>
      <c r="C30" s="47">
        <v>5.48</v>
      </c>
      <c r="D30" s="47"/>
      <c r="E30" s="47">
        <f>8.62</f>
        <v>8.6199999999999992</v>
      </c>
      <c r="F30" s="48">
        <v>1000</v>
      </c>
      <c r="G30" s="47"/>
      <c r="H30" s="48"/>
      <c r="I30" s="48">
        <f t="shared" si="2"/>
        <v>119.88</v>
      </c>
      <c r="J30" s="47">
        <v>23.41</v>
      </c>
      <c r="K30" s="47">
        <v>11.14</v>
      </c>
      <c r="L30" s="47">
        <f t="shared" si="0"/>
        <v>133.68</v>
      </c>
      <c r="M30" s="47">
        <f t="shared" si="1"/>
        <v>157.09</v>
      </c>
      <c r="N30" s="47">
        <f>I30+M30</f>
        <v>276.97000000000003</v>
      </c>
      <c r="O30" s="28" t="s">
        <v>114</v>
      </c>
    </row>
    <row r="31" spans="1:15" ht="5.25" customHeight="1" thickBot="1" x14ac:dyDescent="0.4">
      <c r="A31" s="106"/>
      <c r="B31" s="104"/>
      <c r="C31" s="101"/>
      <c r="D31" s="101"/>
      <c r="E31" s="101"/>
      <c r="F31" s="102"/>
      <c r="G31" s="101"/>
      <c r="H31" s="102"/>
      <c r="I31" s="101"/>
      <c r="J31" s="101"/>
      <c r="K31" s="101"/>
      <c r="L31" s="101"/>
      <c r="M31" s="101"/>
      <c r="N31" s="101"/>
      <c r="O31" s="98"/>
    </row>
    <row r="32" spans="1:15" ht="41.15" customHeight="1" thickBot="1" x14ac:dyDescent="0.4">
      <c r="A32" s="120" t="s">
        <v>164</v>
      </c>
      <c r="B32" s="46" t="s">
        <v>3</v>
      </c>
      <c r="C32" s="47">
        <f>14.8-(J32/3)</f>
        <v>6.996666666666667</v>
      </c>
      <c r="D32" s="47" t="s">
        <v>9</v>
      </c>
      <c r="E32" s="47">
        <f>12-K32</f>
        <v>0.85999999999999943</v>
      </c>
      <c r="F32" s="48">
        <v>1000</v>
      </c>
      <c r="G32" s="47"/>
      <c r="H32" s="48"/>
      <c r="I32" s="48">
        <f>(C32*3)+(E32*12)</f>
        <v>31.309999999999995</v>
      </c>
      <c r="J32" s="47">
        <v>23.41</v>
      </c>
      <c r="K32" s="47">
        <v>11.14</v>
      </c>
      <c r="L32" s="47">
        <f t="shared" si="0"/>
        <v>133.68</v>
      </c>
      <c r="M32" s="47">
        <f t="shared" si="1"/>
        <v>157.09</v>
      </c>
      <c r="N32" s="47">
        <f>I32+M32</f>
        <v>188.4</v>
      </c>
      <c r="O32" s="28" t="s">
        <v>171</v>
      </c>
    </row>
    <row r="33" spans="1:15" ht="5.25" customHeight="1" thickBot="1" x14ac:dyDescent="0.4">
      <c r="A33" s="106"/>
      <c r="B33" s="104"/>
      <c r="C33" s="101"/>
      <c r="D33" s="101"/>
      <c r="E33" s="101"/>
      <c r="F33" s="102"/>
      <c r="G33" s="101"/>
      <c r="H33" s="102"/>
      <c r="I33" s="101"/>
      <c r="J33" s="101"/>
      <c r="K33" s="101"/>
      <c r="L33" s="101"/>
      <c r="M33" s="101"/>
      <c r="N33" s="101"/>
      <c r="O33" s="98"/>
    </row>
    <row r="34" spans="1:15" ht="38.15" customHeight="1" thickBot="1" x14ac:dyDescent="0.4">
      <c r="A34" s="56" t="s">
        <v>191</v>
      </c>
      <c r="B34" s="46" t="s">
        <v>3</v>
      </c>
      <c r="C34" s="47">
        <v>0.38</v>
      </c>
      <c r="D34" s="47"/>
      <c r="E34" s="47">
        <v>4</v>
      </c>
      <c r="F34" s="48">
        <v>1000</v>
      </c>
      <c r="G34" s="47"/>
      <c r="H34" s="48"/>
      <c r="I34" s="48">
        <f>(C34*3)+(E34*12)</f>
        <v>49.14</v>
      </c>
      <c r="J34" s="47">
        <v>23.41</v>
      </c>
      <c r="K34" s="47">
        <v>11.14</v>
      </c>
      <c r="L34" s="47">
        <f t="shared" si="0"/>
        <v>133.68</v>
      </c>
      <c r="M34" s="47">
        <f t="shared" si="1"/>
        <v>157.09</v>
      </c>
      <c r="N34" s="47">
        <f>I34+M34</f>
        <v>206.23000000000002</v>
      </c>
      <c r="O34" s="28" t="s">
        <v>165</v>
      </c>
    </row>
    <row r="35" spans="1:15" ht="5.25" customHeight="1" thickBot="1" x14ac:dyDescent="0.4">
      <c r="A35" s="103"/>
      <c r="B35" s="104"/>
      <c r="C35" s="101"/>
      <c r="D35" s="101"/>
      <c r="E35" s="101"/>
      <c r="F35" s="102"/>
      <c r="G35" s="101"/>
      <c r="H35" s="102"/>
      <c r="I35" s="101"/>
      <c r="J35" s="101"/>
      <c r="K35" s="101"/>
      <c r="L35" s="101"/>
      <c r="M35" s="101"/>
      <c r="N35" s="101"/>
      <c r="O35" s="98"/>
    </row>
    <row r="36" spans="1:15" ht="38.15" customHeight="1" thickBot="1" x14ac:dyDescent="0.4">
      <c r="A36" s="56" t="s">
        <v>15</v>
      </c>
      <c r="B36" s="46" t="s">
        <v>4</v>
      </c>
      <c r="C36" s="47"/>
      <c r="D36" s="47"/>
      <c r="E36" s="47">
        <f>94.36-(K36*7)</f>
        <v>16.379999999999995</v>
      </c>
      <c r="F36" s="48">
        <v>7000</v>
      </c>
      <c r="G36" s="47">
        <f>13.67-K36</f>
        <v>2.5299999999999994</v>
      </c>
      <c r="H36" s="48">
        <v>8001</v>
      </c>
      <c r="I36" s="48">
        <f>(E36)+(G36*5)</f>
        <v>29.029999999999994</v>
      </c>
      <c r="J36" s="47">
        <v>23.41</v>
      </c>
      <c r="K36" s="47">
        <v>11.14</v>
      </c>
      <c r="L36" s="47">
        <f t="shared" si="0"/>
        <v>133.68</v>
      </c>
      <c r="M36" s="47">
        <f t="shared" si="1"/>
        <v>157.09</v>
      </c>
      <c r="N36" s="47">
        <f>I36+M36</f>
        <v>186.12</v>
      </c>
      <c r="O36" s="28" t="s">
        <v>170</v>
      </c>
    </row>
    <row r="37" spans="1:15" ht="5.25" customHeight="1" thickBot="1" x14ac:dyDescent="0.4">
      <c r="A37" s="103"/>
      <c r="B37" s="104"/>
      <c r="C37" s="101"/>
      <c r="D37" s="101"/>
      <c r="E37" s="101"/>
      <c r="F37" s="102"/>
      <c r="G37" s="101"/>
      <c r="H37" s="102"/>
      <c r="I37" s="101"/>
      <c r="J37" s="101"/>
      <c r="K37" s="101"/>
      <c r="L37" s="101"/>
      <c r="M37" s="101"/>
      <c r="N37" s="101"/>
      <c r="O37" s="98"/>
    </row>
    <row r="38" spans="1:15" s="13" customFormat="1" ht="38.15" customHeight="1" thickBot="1" x14ac:dyDescent="0.4">
      <c r="A38" s="56" t="s">
        <v>35</v>
      </c>
      <c r="B38" s="46" t="s">
        <v>3</v>
      </c>
      <c r="C38" s="47">
        <f>24.7-(J38/3)</f>
        <v>16.896666666666665</v>
      </c>
      <c r="D38" s="47" t="s">
        <v>9</v>
      </c>
      <c r="E38" s="47">
        <f>16-K38</f>
        <v>4.8599999999999994</v>
      </c>
      <c r="F38" s="48">
        <v>1000</v>
      </c>
      <c r="G38" s="47"/>
      <c r="H38" s="48"/>
      <c r="I38" s="48">
        <f>(C38*3)+(E38*12)</f>
        <v>109.00999999999999</v>
      </c>
      <c r="J38" s="47">
        <v>23.41</v>
      </c>
      <c r="K38" s="47">
        <v>11.14</v>
      </c>
      <c r="L38" s="47">
        <f t="shared" si="0"/>
        <v>133.68</v>
      </c>
      <c r="M38" s="47">
        <f t="shared" si="1"/>
        <v>157.09</v>
      </c>
      <c r="N38" s="47">
        <f>I38+M38</f>
        <v>266.10000000000002</v>
      </c>
      <c r="O38" s="28" t="s">
        <v>115</v>
      </c>
    </row>
    <row r="39" spans="1:15" s="13" customFormat="1" ht="5.25" customHeight="1" thickBot="1" x14ac:dyDescent="0.4">
      <c r="A39" s="44"/>
      <c r="B39" s="41"/>
      <c r="C39" s="42"/>
      <c r="D39" s="42"/>
      <c r="E39" s="42"/>
      <c r="F39" s="43"/>
      <c r="G39" s="42"/>
      <c r="H39" s="43"/>
      <c r="I39" s="101"/>
      <c r="J39" s="42"/>
      <c r="K39" s="42"/>
      <c r="L39" s="42"/>
      <c r="M39" s="42"/>
      <c r="N39" s="42"/>
      <c r="O39" s="28"/>
    </row>
    <row r="40" spans="1:15" ht="38.15" customHeight="1" thickBot="1" x14ac:dyDescent="0.4">
      <c r="A40" s="56" t="s">
        <v>192</v>
      </c>
      <c r="B40" s="46" t="s">
        <v>4</v>
      </c>
      <c r="C40" s="47"/>
      <c r="D40" s="47">
        <v>1</v>
      </c>
      <c r="E40" s="47">
        <v>4.82</v>
      </c>
      <c r="F40" s="48">
        <v>1000</v>
      </c>
      <c r="G40" s="47"/>
      <c r="H40" s="48"/>
      <c r="I40" s="48">
        <f>(D40)+(E40*12)</f>
        <v>58.84</v>
      </c>
      <c r="J40" s="47">
        <v>23.41</v>
      </c>
      <c r="K40" s="47">
        <v>11.14</v>
      </c>
      <c r="L40" s="47">
        <f t="shared" si="0"/>
        <v>133.68</v>
      </c>
      <c r="M40" s="47">
        <f t="shared" si="1"/>
        <v>157.09</v>
      </c>
      <c r="N40" s="47">
        <f>I40+M40</f>
        <v>215.93</v>
      </c>
      <c r="O40" s="28" t="s">
        <v>169</v>
      </c>
    </row>
    <row r="41" spans="1:15" ht="5.25" customHeight="1" thickBot="1" x14ac:dyDescent="0.4">
      <c r="A41" s="103"/>
      <c r="B41" s="104"/>
      <c r="C41" s="101"/>
      <c r="D41" s="101"/>
      <c r="E41" s="101"/>
      <c r="F41" s="102"/>
      <c r="G41" s="101"/>
      <c r="H41" s="102"/>
      <c r="I41" s="101"/>
      <c r="J41" s="101"/>
      <c r="K41" s="101"/>
      <c r="L41" s="101"/>
      <c r="M41" s="101"/>
      <c r="N41" s="101"/>
      <c r="O41" s="98"/>
    </row>
    <row r="42" spans="1:15" ht="38.15" customHeight="1" thickBot="1" x14ac:dyDescent="0.4">
      <c r="A42" s="56" t="s">
        <v>193</v>
      </c>
      <c r="B42" s="46" t="s">
        <v>3</v>
      </c>
      <c r="C42" s="47"/>
      <c r="D42" s="47" t="s">
        <v>9</v>
      </c>
      <c r="E42" s="47">
        <v>4.05</v>
      </c>
      <c r="F42" s="48">
        <v>1000</v>
      </c>
      <c r="G42" s="47"/>
      <c r="H42" s="48"/>
      <c r="I42" s="48">
        <f>(C42*3)+(E42*12)</f>
        <v>48.599999999999994</v>
      </c>
      <c r="J42" s="47">
        <v>23.41</v>
      </c>
      <c r="K42" s="47">
        <v>11.14</v>
      </c>
      <c r="L42" s="47">
        <f t="shared" si="0"/>
        <v>133.68</v>
      </c>
      <c r="M42" s="47">
        <f t="shared" si="1"/>
        <v>157.09</v>
      </c>
      <c r="N42" s="47">
        <f>I42+M42</f>
        <v>205.69</v>
      </c>
      <c r="O42" s="28" t="s">
        <v>116</v>
      </c>
    </row>
    <row r="43" spans="1:15" ht="5.25" customHeight="1" thickBot="1" x14ac:dyDescent="0.4">
      <c r="A43" s="103"/>
      <c r="B43" s="104"/>
      <c r="C43" s="101"/>
      <c r="D43" s="101"/>
      <c r="E43" s="101"/>
      <c r="F43" s="102"/>
      <c r="G43" s="101"/>
      <c r="H43" s="102"/>
      <c r="I43" s="101"/>
      <c r="J43" s="101"/>
      <c r="K43" s="101"/>
      <c r="L43" s="101"/>
      <c r="M43" s="101"/>
      <c r="N43" s="101"/>
      <c r="O43" s="98"/>
    </row>
    <row r="44" spans="1:15" ht="38.15" customHeight="1" thickBot="1" x14ac:dyDescent="0.4">
      <c r="A44" s="56" t="s">
        <v>194</v>
      </c>
      <c r="B44" s="46" t="s">
        <v>3</v>
      </c>
      <c r="C44" s="47">
        <v>3.5</v>
      </c>
      <c r="D44" s="47" t="s">
        <v>9</v>
      </c>
      <c r="E44" s="47">
        <v>7.12</v>
      </c>
      <c r="F44" s="48">
        <v>1000</v>
      </c>
      <c r="G44" s="47"/>
      <c r="H44" s="48"/>
      <c r="I44" s="48">
        <f>(C44*3)+(E44*12)</f>
        <v>95.94</v>
      </c>
      <c r="J44" s="47">
        <v>23.41</v>
      </c>
      <c r="K44" s="47">
        <v>11.14</v>
      </c>
      <c r="L44" s="47">
        <f t="shared" si="0"/>
        <v>133.68</v>
      </c>
      <c r="M44" s="47">
        <f t="shared" si="1"/>
        <v>157.09</v>
      </c>
      <c r="N44" s="47">
        <f>I44+M44</f>
        <v>253.03</v>
      </c>
      <c r="O44" s="28" t="s">
        <v>117</v>
      </c>
    </row>
    <row r="45" spans="1:15" ht="5.15" customHeight="1" thickBot="1" x14ac:dyDescent="0.4">
      <c r="A45" s="103"/>
      <c r="B45" s="104"/>
      <c r="C45" s="101"/>
      <c r="D45" s="101"/>
      <c r="E45" s="101"/>
      <c r="F45" s="102"/>
      <c r="G45" s="101"/>
      <c r="H45" s="102"/>
      <c r="I45" s="101"/>
      <c r="J45" s="101"/>
      <c r="K45" s="101"/>
      <c r="L45" s="101"/>
      <c r="M45" s="101"/>
      <c r="N45" s="101"/>
      <c r="O45" s="98"/>
    </row>
    <row r="46" spans="1:15" s="13" customFormat="1" ht="38.15" customHeight="1" thickBot="1" x14ac:dyDescent="0.4">
      <c r="A46" s="56" t="s">
        <v>195</v>
      </c>
      <c r="B46" s="46" t="s">
        <v>3</v>
      </c>
      <c r="C46" s="47">
        <f>18.74-(J46/3)</f>
        <v>10.936666666666664</v>
      </c>
      <c r="D46" s="47"/>
      <c r="E46" s="47">
        <f>13.78-K46</f>
        <v>2.6399999999999988</v>
      </c>
      <c r="F46" s="48">
        <v>1000</v>
      </c>
      <c r="G46" s="47"/>
      <c r="H46" s="48"/>
      <c r="I46" s="48">
        <f>(C46*3)+(E46*12)</f>
        <v>64.489999999999981</v>
      </c>
      <c r="J46" s="47">
        <v>23.41</v>
      </c>
      <c r="K46" s="47">
        <v>11.14</v>
      </c>
      <c r="L46" s="47">
        <f t="shared" si="0"/>
        <v>133.68</v>
      </c>
      <c r="M46" s="47">
        <f t="shared" si="1"/>
        <v>157.09</v>
      </c>
      <c r="N46" s="47">
        <f>I46+M46</f>
        <v>221.57999999999998</v>
      </c>
      <c r="O46" s="28" t="s">
        <v>118</v>
      </c>
    </row>
    <row r="47" spans="1:15" s="13" customFormat="1" ht="5.25" customHeight="1" thickBot="1" x14ac:dyDescent="0.4">
      <c r="A47" s="103"/>
      <c r="B47" s="104"/>
      <c r="C47" s="101"/>
      <c r="D47" s="101"/>
      <c r="E47" s="101"/>
      <c r="F47" s="102"/>
      <c r="G47" s="101"/>
      <c r="H47" s="102"/>
      <c r="I47" s="101"/>
      <c r="J47" s="101"/>
      <c r="K47" s="101"/>
      <c r="L47" s="101"/>
      <c r="M47" s="101"/>
      <c r="N47" s="101"/>
      <c r="O47" s="105"/>
    </row>
    <row r="48" spans="1:15" s="13" customFormat="1" ht="38.15" customHeight="1" thickBot="1" x14ac:dyDescent="0.4">
      <c r="A48" s="56" t="s">
        <v>196</v>
      </c>
      <c r="B48" s="46" t="s">
        <v>3</v>
      </c>
      <c r="C48" s="47"/>
      <c r="D48" s="47"/>
      <c r="E48" s="47">
        <f>25-(J48/3)-(K48*3)</f>
        <v>-16.223333333333336</v>
      </c>
      <c r="F48" s="48">
        <v>3000</v>
      </c>
      <c r="G48" s="47">
        <f>12.5-K48</f>
        <v>1.3599999999999994</v>
      </c>
      <c r="H48" s="48">
        <v>3000</v>
      </c>
      <c r="I48" s="48">
        <f>(E48*3)+(G48*3)</f>
        <v>-44.590000000000011</v>
      </c>
      <c r="J48" s="47">
        <v>23.41</v>
      </c>
      <c r="K48" s="47">
        <v>11.14</v>
      </c>
      <c r="L48" s="47">
        <f t="shared" si="0"/>
        <v>133.68</v>
      </c>
      <c r="M48" s="47">
        <f t="shared" si="1"/>
        <v>157.09</v>
      </c>
      <c r="N48" s="47">
        <f>I48+M48</f>
        <v>112.5</v>
      </c>
      <c r="O48" s="28" t="s">
        <v>119</v>
      </c>
    </row>
    <row r="49" spans="1:15" s="13" customFormat="1" ht="5.25" customHeight="1" thickBot="1" x14ac:dyDescent="0.4">
      <c r="A49" s="103"/>
      <c r="B49" s="104"/>
      <c r="C49" s="101"/>
      <c r="D49" s="101"/>
      <c r="E49" s="101"/>
      <c r="F49" s="102"/>
      <c r="G49" s="101"/>
      <c r="H49" s="102"/>
      <c r="I49" s="101"/>
      <c r="J49" s="101"/>
      <c r="K49" s="101"/>
      <c r="L49" s="101"/>
      <c r="M49" s="101"/>
      <c r="N49" s="101"/>
      <c r="O49" s="105"/>
    </row>
    <row r="50" spans="1:15" ht="38.15" customHeight="1" thickBot="1" x14ac:dyDescent="0.4">
      <c r="A50" s="56" t="s">
        <v>197</v>
      </c>
      <c r="B50" s="46" t="s">
        <v>3</v>
      </c>
      <c r="C50" s="47"/>
      <c r="D50" s="47" t="s">
        <v>9</v>
      </c>
      <c r="E50" s="47">
        <f>38.45-(J50/3)-K50</f>
        <v>19.506666666666668</v>
      </c>
      <c r="F50" s="48">
        <v>1000</v>
      </c>
      <c r="G50" s="47">
        <f>18.9-K50</f>
        <v>7.759999999999998</v>
      </c>
      <c r="H50" s="48">
        <v>2001</v>
      </c>
      <c r="I50" s="48">
        <f>(E50*3)+(G50*9)</f>
        <v>128.35999999999999</v>
      </c>
      <c r="J50" s="47">
        <v>23.41</v>
      </c>
      <c r="K50" s="47">
        <v>11.14</v>
      </c>
      <c r="L50" s="47">
        <f t="shared" si="0"/>
        <v>133.68</v>
      </c>
      <c r="M50" s="47">
        <f t="shared" si="1"/>
        <v>157.09</v>
      </c>
      <c r="N50" s="47">
        <f>I50+M50</f>
        <v>285.45</v>
      </c>
      <c r="O50" s="28" t="s">
        <v>120</v>
      </c>
    </row>
    <row r="51" spans="1:15" ht="5.25" customHeight="1" thickBot="1" x14ac:dyDescent="0.4">
      <c r="A51" s="103"/>
      <c r="B51" s="104"/>
      <c r="C51" s="101"/>
      <c r="D51" s="101"/>
      <c r="E51" s="101"/>
      <c r="F51" s="102"/>
      <c r="G51" s="101"/>
      <c r="H51" s="102"/>
      <c r="I51" s="101"/>
      <c r="J51" s="101"/>
      <c r="K51" s="101"/>
      <c r="L51" s="101"/>
      <c r="M51" s="101"/>
      <c r="N51" s="101"/>
      <c r="O51" s="98"/>
    </row>
    <row r="52" spans="1:15" ht="38.15" customHeight="1" thickBot="1" x14ac:dyDescent="0.4">
      <c r="A52" s="56" t="s">
        <v>198</v>
      </c>
      <c r="B52" s="46" t="s">
        <v>4</v>
      </c>
      <c r="C52" s="47"/>
      <c r="D52" s="47">
        <f>44-J52</f>
        <v>20.59</v>
      </c>
      <c r="E52" s="47">
        <f>8.65-K52</f>
        <v>-2.4900000000000002</v>
      </c>
      <c r="F52" s="48">
        <v>1000</v>
      </c>
      <c r="G52" s="47"/>
      <c r="H52" s="48"/>
      <c r="I52" s="48">
        <f>(D52)+(E52*12)</f>
        <v>-9.2900000000000027</v>
      </c>
      <c r="J52" s="47">
        <v>23.41</v>
      </c>
      <c r="K52" s="47">
        <v>11.14</v>
      </c>
      <c r="L52" s="47">
        <f t="shared" si="0"/>
        <v>133.68</v>
      </c>
      <c r="M52" s="47">
        <f t="shared" si="1"/>
        <v>157.09</v>
      </c>
      <c r="N52" s="47">
        <f>I52+M52</f>
        <v>147.80000000000001</v>
      </c>
      <c r="O52" s="28" t="s">
        <v>121</v>
      </c>
    </row>
    <row r="53" spans="1:15" ht="5.25" customHeight="1" thickBot="1" x14ac:dyDescent="0.4">
      <c r="A53" s="103"/>
      <c r="B53" s="107"/>
      <c r="C53" s="101"/>
      <c r="D53" s="101"/>
      <c r="E53" s="101"/>
      <c r="F53" s="102"/>
      <c r="G53" s="101"/>
      <c r="H53" s="102"/>
      <c r="I53" s="101"/>
      <c r="J53" s="101"/>
      <c r="K53" s="101"/>
      <c r="L53" s="101"/>
      <c r="M53" s="101"/>
      <c r="N53" s="101"/>
      <c r="O53" s="98"/>
    </row>
    <row r="54" spans="1:15" ht="38.25" customHeight="1" thickBot="1" x14ac:dyDescent="0.4">
      <c r="A54" s="56" t="s">
        <v>10</v>
      </c>
      <c r="B54" s="57" t="s">
        <v>3</v>
      </c>
      <c r="C54" s="47"/>
      <c r="D54" s="47"/>
      <c r="E54" s="47">
        <f>8.25</f>
        <v>8.25</v>
      </c>
      <c r="F54" s="48">
        <v>1000</v>
      </c>
      <c r="G54" s="47">
        <v>6.68</v>
      </c>
      <c r="H54" s="48">
        <v>2001</v>
      </c>
      <c r="I54" s="48">
        <f>(C54*3)+(E54*3)+(G54*9)</f>
        <v>84.87</v>
      </c>
      <c r="J54" s="47">
        <v>23.41</v>
      </c>
      <c r="K54" s="47">
        <v>11.14</v>
      </c>
      <c r="L54" s="47">
        <f t="shared" si="0"/>
        <v>133.68</v>
      </c>
      <c r="M54" s="47">
        <f t="shared" si="1"/>
        <v>157.09</v>
      </c>
      <c r="N54" s="47">
        <f>I54+M54</f>
        <v>241.96</v>
      </c>
      <c r="O54" s="27" t="s">
        <v>84</v>
      </c>
    </row>
    <row r="55" spans="1:15" ht="5.25" customHeight="1" thickBot="1" x14ac:dyDescent="0.4">
      <c r="A55" s="103"/>
      <c r="B55" s="104"/>
      <c r="C55" s="101"/>
      <c r="D55" s="101"/>
      <c r="E55" s="101"/>
      <c r="F55" s="102"/>
      <c r="G55" s="101"/>
      <c r="H55" s="102"/>
      <c r="I55" s="101"/>
      <c r="J55" s="101"/>
      <c r="K55" s="101"/>
      <c r="L55" s="101"/>
      <c r="M55" s="101"/>
      <c r="N55" s="101"/>
      <c r="O55" s="109"/>
    </row>
    <row r="56" spans="1:15" ht="38.15" customHeight="1" thickBot="1" x14ac:dyDescent="0.4">
      <c r="A56" s="56" t="s">
        <v>66</v>
      </c>
      <c r="B56" s="46" t="s">
        <v>3</v>
      </c>
      <c r="C56" s="47">
        <f>13.34-(J56/3)</f>
        <v>5.5366666666666662</v>
      </c>
      <c r="D56" s="47"/>
      <c r="E56" s="47">
        <f>10-K56</f>
        <v>-1.1400000000000006</v>
      </c>
      <c r="F56" s="48">
        <v>1000</v>
      </c>
      <c r="G56" s="47"/>
      <c r="H56" s="48"/>
      <c r="I56" s="48">
        <f>(C56*3)+(E56*12)</f>
        <v>2.9299999999999926</v>
      </c>
      <c r="J56" s="47">
        <v>23.41</v>
      </c>
      <c r="K56" s="47">
        <v>11.14</v>
      </c>
      <c r="L56" s="47">
        <f t="shared" si="0"/>
        <v>133.68</v>
      </c>
      <c r="M56" s="47">
        <f t="shared" si="1"/>
        <v>157.09</v>
      </c>
      <c r="N56" s="47">
        <f>I56+M56</f>
        <v>160.01999999999998</v>
      </c>
      <c r="O56" s="28" t="s">
        <v>122</v>
      </c>
    </row>
    <row r="57" spans="1:15" ht="5.25" customHeight="1" thickBot="1" x14ac:dyDescent="0.4">
      <c r="A57" s="103"/>
      <c r="B57" s="104"/>
      <c r="C57" s="101"/>
      <c r="D57" s="101"/>
      <c r="E57" s="101"/>
      <c r="F57" s="102"/>
      <c r="G57" s="101"/>
      <c r="H57" s="102"/>
      <c r="I57" s="101"/>
      <c r="J57" s="101"/>
      <c r="K57" s="101"/>
      <c r="L57" s="101"/>
      <c r="M57" s="101"/>
      <c r="N57" s="101"/>
      <c r="O57" s="105"/>
    </row>
    <row r="58" spans="1:15" ht="38.25" customHeight="1" thickBot="1" x14ac:dyDescent="0.4">
      <c r="A58" s="56" t="s">
        <v>56</v>
      </c>
      <c r="B58" s="46" t="s">
        <v>4</v>
      </c>
      <c r="C58" s="47"/>
      <c r="D58" s="47">
        <f>26.18-J58</f>
        <v>2.7699999999999996</v>
      </c>
      <c r="E58" s="47">
        <f>9.2-K58</f>
        <v>-1.9400000000000013</v>
      </c>
      <c r="F58" s="48">
        <v>1000</v>
      </c>
      <c r="G58" s="47"/>
      <c r="H58" s="48"/>
      <c r="I58" s="48">
        <f>D58+(E58*12)</f>
        <v>-20.510000000000016</v>
      </c>
      <c r="J58" s="47">
        <v>23.41</v>
      </c>
      <c r="K58" s="47">
        <v>11.14</v>
      </c>
      <c r="L58" s="47">
        <f t="shared" si="0"/>
        <v>133.68</v>
      </c>
      <c r="M58" s="47">
        <f t="shared" si="1"/>
        <v>157.09</v>
      </c>
      <c r="N58" s="47">
        <f>I58+M58</f>
        <v>136.57999999999998</v>
      </c>
      <c r="O58" s="28" t="s">
        <v>123</v>
      </c>
    </row>
    <row r="59" spans="1:15" ht="5.25" customHeight="1" thickBot="1" x14ac:dyDescent="0.4">
      <c r="A59" s="103"/>
      <c r="B59" s="104"/>
      <c r="C59" s="101"/>
      <c r="D59" s="101"/>
      <c r="E59" s="101"/>
      <c r="F59" s="102"/>
      <c r="G59" s="101"/>
      <c r="H59" s="102"/>
      <c r="I59" s="101"/>
      <c r="J59" s="101"/>
      <c r="K59" s="101"/>
      <c r="L59" s="101"/>
      <c r="M59" s="101"/>
      <c r="N59" s="101"/>
      <c r="O59" s="98"/>
    </row>
    <row r="60" spans="1:15" ht="38.15" customHeight="1" thickBot="1" x14ac:dyDescent="0.4">
      <c r="A60" s="56" t="s">
        <v>62</v>
      </c>
      <c r="B60" s="46" t="s">
        <v>3</v>
      </c>
      <c r="C60" s="47"/>
      <c r="D60" s="47" t="s">
        <v>9</v>
      </c>
      <c r="E60" s="47">
        <f>17.64-K60</f>
        <v>6.5</v>
      </c>
      <c r="F60" s="48">
        <v>1000</v>
      </c>
      <c r="G60" s="47"/>
      <c r="H60" s="48"/>
      <c r="I60" s="48">
        <f>(C60*3)+(E60*12)</f>
        <v>78</v>
      </c>
      <c r="J60" s="47">
        <v>23.41</v>
      </c>
      <c r="K60" s="47">
        <v>11.14</v>
      </c>
      <c r="L60" s="47">
        <f t="shared" si="0"/>
        <v>133.68</v>
      </c>
      <c r="M60" s="47">
        <f t="shared" si="1"/>
        <v>157.09</v>
      </c>
      <c r="N60" s="47">
        <f>I60+M60</f>
        <v>235.09</v>
      </c>
      <c r="O60" s="28" t="s">
        <v>166</v>
      </c>
    </row>
    <row r="61" spans="1:15" ht="5.25" customHeight="1" thickBot="1" x14ac:dyDescent="0.4">
      <c r="A61" s="103"/>
      <c r="B61" s="104"/>
      <c r="C61" s="101"/>
      <c r="D61" s="101"/>
      <c r="E61" s="101"/>
      <c r="F61" s="102"/>
      <c r="G61" s="101"/>
      <c r="H61" s="102"/>
      <c r="I61" s="101"/>
      <c r="J61" s="101"/>
      <c r="K61" s="101"/>
      <c r="L61" s="101"/>
      <c r="M61" s="101"/>
      <c r="N61" s="101"/>
      <c r="O61" s="105"/>
    </row>
    <row r="62" spans="1:15" ht="38.15" customHeight="1" thickBot="1" x14ac:dyDescent="0.4">
      <c r="A62" s="56" t="s">
        <v>199</v>
      </c>
      <c r="B62" s="46" t="s">
        <v>4</v>
      </c>
      <c r="C62" s="47"/>
      <c r="D62" s="47" t="s">
        <v>9</v>
      </c>
      <c r="E62" s="47">
        <v>3</v>
      </c>
      <c r="F62" s="48">
        <v>1000</v>
      </c>
      <c r="G62" s="47"/>
      <c r="H62" s="48"/>
      <c r="I62" s="48">
        <f>(C62*3)+(E62*12)</f>
        <v>36</v>
      </c>
      <c r="J62" s="47">
        <v>23.41</v>
      </c>
      <c r="K62" s="47">
        <v>11.14</v>
      </c>
      <c r="L62" s="47">
        <f t="shared" si="0"/>
        <v>133.68</v>
      </c>
      <c r="M62" s="47">
        <f t="shared" si="1"/>
        <v>157.09</v>
      </c>
      <c r="N62" s="47">
        <f>I62+M62</f>
        <v>193.09</v>
      </c>
      <c r="O62" s="28" t="s">
        <v>124</v>
      </c>
    </row>
    <row r="63" spans="1:15" ht="5.25" customHeight="1" thickBot="1" x14ac:dyDescent="0.4">
      <c r="A63" s="103"/>
      <c r="B63" s="104"/>
      <c r="C63" s="101"/>
      <c r="D63" s="101"/>
      <c r="E63" s="101"/>
      <c r="F63" s="102"/>
      <c r="G63" s="101"/>
      <c r="H63" s="102"/>
      <c r="I63" s="101"/>
      <c r="J63" s="101"/>
      <c r="K63" s="101"/>
      <c r="L63" s="101"/>
      <c r="M63" s="101"/>
      <c r="N63" s="101"/>
      <c r="O63" s="98"/>
    </row>
    <row r="64" spans="1:15" ht="35.15" customHeight="1" thickBot="1" x14ac:dyDescent="0.4">
      <c r="A64" s="56" t="s">
        <v>125</v>
      </c>
      <c r="B64" s="46" t="s">
        <v>3</v>
      </c>
      <c r="C64" s="47">
        <f>15-(J64/3)</f>
        <v>7.1966666666666663</v>
      </c>
      <c r="D64" s="47"/>
      <c r="E64" s="47">
        <f>14.78-K64</f>
        <v>3.6399999999999988</v>
      </c>
      <c r="F64" s="48">
        <v>1000</v>
      </c>
      <c r="G64" s="47"/>
      <c r="H64" s="48"/>
      <c r="I64" s="48">
        <f>(C64*3)+(E64*12)</f>
        <v>65.269999999999982</v>
      </c>
      <c r="J64" s="47">
        <v>23.41</v>
      </c>
      <c r="K64" s="47">
        <v>11.14</v>
      </c>
      <c r="L64" s="47">
        <f t="shared" si="0"/>
        <v>133.68</v>
      </c>
      <c r="M64" s="47">
        <f t="shared" si="1"/>
        <v>157.09</v>
      </c>
      <c r="N64" s="47">
        <f>I64+M64</f>
        <v>222.35999999999999</v>
      </c>
      <c r="O64" s="28" t="s">
        <v>126</v>
      </c>
    </row>
    <row r="65" spans="1:15" ht="5.25" customHeight="1" thickBot="1" x14ac:dyDescent="0.4">
      <c r="A65" s="103"/>
      <c r="B65" s="104"/>
      <c r="C65" s="101"/>
      <c r="D65" s="101"/>
      <c r="E65" s="101"/>
      <c r="F65" s="102"/>
      <c r="G65" s="101"/>
      <c r="H65" s="102"/>
      <c r="I65" s="101"/>
      <c r="J65" s="101"/>
      <c r="K65" s="101"/>
      <c r="L65" s="101"/>
      <c r="M65" s="101"/>
      <c r="N65" s="101"/>
      <c r="O65" s="105"/>
    </row>
    <row r="66" spans="1:15" ht="35.15" customHeight="1" thickBot="1" x14ac:dyDescent="0.4">
      <c r="A66" s="56" t="s">
        <v>200</v>
      </c>
      <c r="B66" s="46" t="s">
        <v>4</v>
      </c>
      <c r="C66" s="47"/>
      <c r="D66" s="47"/>
      <c r="E66" s="47">
        <v>4.5</v>
      </c>
      <c r="F66" s="48">
        <v>1000</v>
      </c>
      <c r="G66" s="47"/>
      <c r="H66" s="48"/>
      <c r="I66" s="48">
        <f>(C66*3)+(E66*12)</f>
        <v>54</v>
      </c>
      <c r="J66" s="47">
        <v>23.41</v>
      </c>
      <c r="K66" s="47">
        <v>11.14</v>
      </c>
      <c r="L66" s="47">
        <f t="shared" si="0"/>
        <v>133.68</v>
      </c>
      <c r="M66" s="47">
        <f t="shared" si="1"/>
        <v>157.09</v>
      </c>
      <c r="N66" s="47">
        <f>I66+M66</f>
        <v>211.09</v>
      </c>
      <c r="O66" s="28" t="s">
        <v>127</v>
      </c>
    </row>
    <row r="67" spans="1:15" ht="5.25" customHeight="1" thickBot="1" x14ac:dyDescent="0.4">
      <c r="A67" s="103"/>
      <c r="B67" s="104"/>
      <c r="C67" s="101"/>
      <c r="D67" s="101"/>
      <c r="E67" s="101"/>
      <c r="F67" s="102"/>
      <c r="G67" s="101"/>
      <c r="H67" s="102"/>
      <c r="I67" s="101"/>
      <c r="J67" s="101"/>
      <c r="K67" s="101"/>
      <c r="L67" s="101"/>
      <c r="M67" s="101"/>
      <c r="N67" s="101"/>
      <c r="O67" s="98"/>
    </row>
    <row r="68" spans="1:15" ht="35.15" customHeight="1" thickBot="1" x14ac:dyDescent="0.4">
      <c r="A68" s="56" t="s">
        <v>201</v>
      </c>
      <c r="B68" s="46" t="s">
        <v>43</v>
      </c>
      <c r="C68" s="47"/>
      <c r="D68" s="47"/>
      <c r="E68" s="47"/>
      <c r="F68" s="48">
        <v>1000</v>
      </c>
      <c r="G68" s="47"/>
      <c r="H68" s="48"/>
      <c r="I68" s="48">
        <f>(C68*3)+(E68*13)</f>
        <v>0</v>
      </c>
      <c r="J68" s="47">
        <v>23.41</v>
      </c>
      <c r="K68" s="47">
        <v>11.14</v>
      </c>
      <c r="L68" s="47">
        <f t="shared" si="0"/>
        <v>133.68</v>
      </c>
      <c r="M68" s="47">
        <f t="shared" si="1"/>
        <v>157.09</v>
      </c>
      <c r="N68" s="47">
        <f>I68+M68</f>
        <v>157.09</v>
      </c>
      <c r="O68" s="28" t="s">
        <v>128</v>
      </c>
    </row>
    <row r="69" spans="1:15" ht="5.25" customHeight="1" thickBot="1" x14ac:dyDescent="0.4">
      <c r="A69" s="103"/>
      <c r="B69" s="104"/>
      <c r="C69" s="101"/>
      <c r="D69" s="101"/>
      <c r="E69" s="101"/>
      <c r="F69" s="102"/>
      <c r="G69" s="101"/>
      <c r="H69" s="102"/>
      <c r="I69" s="101"/>
      <c r="J69" s="101"/>
      <c r="K69" s="101"/>
      <c r="L69" s="101"/>
      <c r="M69" s="101"/>
      <c r="N69" s="101"/>
      <c r="O69" s="98"/>
    </row>
    <row r="70" spans="1:15" ht="35.15" customHeight="1" thickBot="1" x14ac:dyDescent="0.4">
      <c r="A70" s="56" t="s">
        <v>14</v>
      </c>
      <c r="B70" s="46" t="s">
        <v>3</v>
      </c>
      <c r="C70" s="47">
        <f>13.1 -(J70/3)</f>
        <v>5.296666666666666</v>
      </c>
      <c r="D70" s="47" t="s">
        <v>9</v>
      </c>
      <c r="E70" s="47">
        <f>18.72-K70</f>
        <v>7.5799999999999983</v>
      </c>
      <c r="F70" s="48">
        <v>1000</v>
      </c>
      <c r="G70" s="47"/>
      <c r="H70" s="48"/>
      <c r="I70" s="48">
        <f>(C70*3)+(E70*12)</f>
        <v>106.84999999999998</v>
      </c>
      <c r="J70" s="47">
        <v>23.41</v>
      </c>
      <c r="K70" s="47">
        <v>11.14</v>
      </c>
      <c r="L70" s="47">
        <f t="shared" si="0"/>
        <v>133.68</v>
      </c>
      <c r="M70" s="47">
        <f t="shared" si="1"/>
        <v>157.09</v>
      </c>
      <c r="N70" s="47">
        <f>I70+M70</f>
        <v>263.94</v>
      </c>
      <c r="O70" s="28" t="s">
        <v>129</v>
      </c>
    </row>
    <row r="71" spans="1:15" ht="5.25" customHeight="1" thickBot="1" x14ac:dyDescent="0.4">
      <c r="A71" s="103"/>
      <c r="B71" s="104"/>
      <c r="C71" s="101"/>
      <c r="D71" s="101"/>
      <c r="E71" s="101"/>
      <c r="F71" s="102"/>
      <c r="G71" s="101"/>
      <c r="H71" s="102"/>
      <c r="I71" s="101"/>
      <c r="J71" s="101"/>
      <c r="K71" s="101"/>
      <c r="L71" s="101"/>
      <c r="M71" s="101"/>
      <c r="N71" s="101"/>
      <c r="O71" s="98"/>
    </row>
    <row r="72" spans="1:15" ht="38.15" customHeight="1" thickBot="1" x14ac:dyDescent="0.4">
      <c r="A72" s="56" t="s">
        <v>51</v>
      </c>
      <c r="B72" s="46" t="s">
        <v>3</v>
      </c>
      <c r="C72" s="47">
        <f>1.89</f>
        <v>1.89</v>
      </c>
      <c r="D72" s="47"/>
      <c r="E72" s="47">
        <v>6.75</v>
      </c>
      <c r="F72" s="48">
        <v>1000</v>
      </c>
      <c r="G72" s="47"/>
      <c r="H72" s="48"/>
      <c r="I72" s="48">
        <f>(C72*3)+(E72*12)</f>
        <v>86.67</v>
      </c>
      <c r="J72" s="47">
        <v>23.41</v>
      </c>
      <c r="K72" s="47">
        <v>11.14</v>
      </c>
      <c r="L72" s="47">
        <f t="shared" si="0"/>
        <v>133.68</v>
      </c>
      <c r="M72" s="47">
        <f t="shared" si="1"/>
        <v>157.09</v>
      </c>
      <c r="N72" s="47">
        <f>I72+M72</f>
        <v>243.76</v>
      </c>
      <c r="O72" s="28" t="s">
        <v>130</v>
      </c>
    </row>
    <row r="73" spans="1:15" ht="5.25" customHeight="1" thickBot="1" x14ac:dyDescent="0.4">
      <c r="A73" s="103"/>
      <c r="B73" s="104"/>
      <c r="C73" s="101"/>
      <c r="D73" s="101"/>
      <c r="E73" s="101"/>
      <c r="F73" s="102"/>
      <c r="G73" s="101"/>
      <c r="H73" s="102"/>
      <c r="I73" s="101"/>
      <c r="J73" s="101"/>
      <c r="K73" s="101"/>
      <c r="L73" s="101"/>
      <c r="M73" s="101"/>
      <c r="N73" s="101"/>
      <c r="O73" s="98"/>
    </row>
    <row r="74" spans="1:15" ht="38.15" customHeight="1" thickBot="1" x14ac:dyDescent="0.4">
      <c r="A74" s="56" t="s">
        <v>202</v>
      </c>
      <c r="B74" s="46" t="s">
        <v>3</v>
      </c>
      <c r="C74" s="47">
        <f>19-(J74/3)</f>
        <v>11.196666666666665</v>
      </c>
      <c r="D74" s="47"/>
      <c r="E74" s="47">
        <f>8.58-K74</f>
        <v>-2.5600000000000005</v>
      </c>
      <c r="F74" s="48">
        <v>1000</v>
      </c>
      <c r="G74" s="47"/>
      <c r="H74" s="48"/>
      <c r="I74" s="48">
        <f>(C74*3)+(E74*12)</f>
        <v>2.8699999999999903</v>
      </c>
      <c r="J74" s="47">
        <v>23.41</v>
      </c>
      <c r="K74" s="47">
        <v>11.14</v>
      </c>
      <c r="L74" s="47">
        <f t="shared" si="0"/>
        <v>133.68</v>
      </c>
      <c r="M74" s="47">
        <f t="shared" si="1"/>
        <v>157.09</v>
      </c>
      <c r="N74" s="47">
        <f>I74+M74</f>
        <v>159.95999999999998</v>
      </c>
      <c r="O74" s="28" t="s">
        <v>131</v>
      </c>
    </row>
    <row r="75" spans="1:15" ht="5.25" customHeight="1" thickBot="1" x14ac:dyDescent="0.4">
      <c r="A75" s="103"/>
      <c r="B75" s="104"/>
      <c r="C75" s="101"/>
      <c r="D75" s="101"/>
      <c r="E75" s="101"/>
      <c r="F75" s="102"/>
      <c r="G75" s="101"/>
      <c r="H75" s="102"/>
      <c r="I75" s="101"/>
      <c r="J75" s="101"/>
      <c r="K75" s="101"/>
      <c r="L75" s="101"/>
      <c r="M75" s="101"/>
      <c r="N75" s="101"/>
      <c r="O75" s="98"/>
    </row>
    <row r="76" spans="1:15" ht="35.15" customHeight="1" thickBot="1" x14ac:dyDescent="0.4">
      <c r="A76" s="56" t="s">
        <v>203</v>
      </c>
      <c r="B76" s="46" t="s">
        <v>3</v>
      </c>
      <c r="C76" s="47"/>
      <c r="D76" s="47"/>
      <c r="E76" s="47">
        <v>11.89</v>
      </c>
      <c r="F76" s="48">
        <v>4500</v>
      </c>
      <c r="G76" s="47">
        <v>2.5</v>
      </c>
      <c r="H76" s="48">
        <v>4501</v>
      </c>
      <c r="I76" s="48">
        <f>E76*3</f>
        <v>35.67</v>
      </c>
      <c r="J76" s="47">
        <v>23.41</v>
      </c>
      <c r="K76" s="47">
        <v>11.14</v>
      </c>
      <c r="L76" s="47">
        <f t="shared" si="0"/>
        <v>133.68</v>
      </c>
      <c r="M76" s="47">
        <f t="shared" si="1"/>
        <v>157.09</v>
      </c>
      <c r="N76" s="47">
        <f>I76+M76</f>
        <v>192.76</v>
      </c>
      <c r="O76" s="28" t="s">
        <v>132</v>
      </c>
    </row>
    <row r="77" spans="1:15" ht="5.25" customHeight="1" thickBot="1" x14ac:dyDescent="0.4">
      <c r="A77" s="103"/>
      <c r="B77" s="104"/>
      <c r="C77" s="101"/>
      <c r="D77" s="101"/>
      <c r="E77" s="101"/>
      <c r="F77" s="102"/>
      <c r="G77" s="101"/>
      <c r="H77" s="102"/>
      <c r="I77" s="101"/>
      <c r="J77" s="101"/>
      <c r="K77" s="101"/>
      <c r="L77" s="101"/>
      <c r="M77" s="101"/>
      <c r="N77" s="101"/>
      <c r="O77" s="98"/>
    </row>
    <row r="78" spans="1:15" ht="38.15" customHeight="1" thickBot="1" x14ac:dyDescent="0.4">
      <c r="A78" s="56" t="s">
        <v>133</v>
      </c>
      <c r="B78" s="46" t="s">
        <v>4</v>
      </c>
      <c r="C78" s="47"/>
      <c r="D78" s="47"/>
      <c r="E78" s="47">
        <f>15.6-K78</f>
        <v>4.4599999999999991</v>
      </c>
      <c r="F78" s="48">
        <v>1000</v>
      </c>
      <c r="G78" s="47"/>
      <c r="H78" s="48"/>
      <c r="I78" s="48">
        <f>D78+(E78*12)</f>
        <v>53.519999999999989</v>
      </c>
      <c r="J78" s="47">
        <v>23.41</v>
      </c>
      <c r="K78" s="47">
        <v>11.14</v>
      </c>
      <c r="L78" s="47">
        <f t="shared" si="0"/>
        <v>133.68</v>
      </c>
      <c r="M78" s="47">
        <f t="shared" si="1"/>
        <v>157.09</v>
      </c>
      <c r="N78" s="47">
        <f>I78+M78</f>
        <v>210.60999999999999</v>
      </c>
      <c r="O78" s="28" t="s">
        <v>134</v>
      </c>
    </row>
    <row r="79" spans="1:15" x14ac:dyDescent="0.35">
      <c r="C79" s="10"/>
      <c r="D79" s="10"/>
      <c r="E79" s="10"/>
      <c r="F79" s="11"/>
      <c r="G79" s="11"/>
      <c r="H79" s="12"/>
      <c r="I79" s="10"/>
      <c r="J79" s="10"/>
      <c r="K79" s="10"/>
      <c r="L79" s="10"/>
      <c r="M79" s="10"/>
      <c r="N79" s="10"/>
      <c r="O79" s="2"/>
    </row>
    <row r="80" spans="1:15" ht="14.5" customHeight="1" x14ac:dyDescent="0.35">
      <c r="B80" s="9" t="s">
        <v>11</v>
      </c>
      <c r="C80" s="121" t="s">
        <v>38</v>
      </c>
      <c r="D80" s="122"/>
      <c r="E80" s="122"/>
      <c r="F80" s="122"/>
      <c r="G80" s="122"/>
      <c r="H80" s="122"/>
      <c r="I80" s="122"/>
      <c r="J80" s="122"/>
      <c r="K80" s="122"/>
      <c r="L80" s="122"/>
      <c r="M80" s="122"/>
      <c r="N80" s="122"/>
      <c r="O80" s="2"/>
    </row>
    <row r="81" spans="2:15" x14ac:dyDescent="0.35">
      <c r="B81" s="9"/>
      <c r="C81" s="122"/>
      <c r="D81" s="122"/>
      <c r="E81" s="122"/>
      <c r="F81" s="122"/>
      <c r="G81" s="122"/>
      <c r="H81" s="122"/>
      <c r="I81" s="122"/>
      <c r="J81" s="122"/>
      <c r="K81" s="122"/>
      <c r="L81" s="122"/>
      <c r="M81" s="122"/>
      <c r="N81" s="122"/>
      <c r="O81" s="2"/>
    </row>
    <row r="82" spans="2:15" x14ac:dyDescent="0.35">
      <c r="B82" s="9"/>
      <c r="C82" s="70"/>
      <c r="D82" s="70"/>
      <c r="E82" s="70"/>
      <c r="F82" s="70"/>
      <c r="G82" s="70"/>
      <c r="H82" s="70"/>
      <c r="I82" s="70"/>
      <c r="J82" s="70"/>
      <c r="K82" s="70"/>
      <c r="L82" s="70"/>
      <c r="M82" s="70"/>
      <c r="N82" s="70"/>
      <c r="O82" s="2"/>
    </row>
    <row r="83" spans="2:15" ht="30" customHeight="1" x14ac:dyDescent="0.35">
      <c r="C83" s="121" t="s">
        <v>39</v>
      </c>
      <c r="D83" s="122"/>
      <c r="E83" s="122"/>
      <c r="F83" s="122"/>
      <c r="G83" s="122"/>
      <c r="H83" s="122"/>
      <c r="I83" s="122"/>
      <c r="J83" s="122"/>
      <c r="K83" s="122"/>
      <c r="L83" s="122"/>
      <c r="M83" s="122"/>
      <c r="N83" s="122"/>
    </row>
    <row r="85" spans="2:15" x14ac:dyDescent="0.35">
      <c r="C85" s="123"/>
      <c r="D85" s="124"/>
      <c r="E85" s="124"/>
      <c r="F85" s="124"/>
      <c r="G85" s="124"/>
      <c r="H85" s="124"/>
      <c r="I85" s="124"/>
      <c r="J85" s="124"/>
      <c r="K85" s="124"/>
      <c r="L85" s="124"/>
      <c r="M85" s="124"/>
      <c r="N85" s="124"/>
    </row>
    <row r="89" spans="2:15" x14ac:dyDescent="0.35">
      <c r="G89" s="72"/>
    </row>
  </sheetData>
  <sheetProtection algorithmName="SHA-512" hashValue="692pBX4BQc+pfl04iD/xVZT5ob1vP3Y13QJJ4v5Mvc2/a6jZWi/CZawdY5eFCSGAaiUicHNHD7Gi0j8vcOUdCA==" saltValue="NdJMb/PmMbsFn5rhOu8hlg==" spinCount="100000" sheet="1"/>
  <mergeCells count="4">
    <mergeCell ref="C6:D6"/>
    <mergeCell ref="C80:N81"/>
    <mergeCell ref="C83:N83"/>
    <mergeCell ref="C85:N85"/>
  </mergeCells>
  <pageMargins left="0.7" right="0.7" top="0.75" bottom="0.75" header="0.3" footer="0.3"/>
  <pageSetup paperSize="17"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7"/>
  <sheetViews>
    <sheetView tabSelected="1" zoomScale="98" zoomScaleNormal="98" workbookViewId="0">
      <pane xSplit="1" ySplit="7" topLeftCell="B8" activePane="bottomRight" state="frozen"/>
      <selection pane="topRight" activeCell="B1" sqref="B1"/>
      <selection pane="bottomLeft" activeCell="A8" sqref="A8"/>
      <selection pane="bottomRight" activeCell="H16" sqref="H16"/>
    </sheetView>
  </sheetViews>
  <sheetFormatPr defaultColWidth="9.1796875" defaultRowHeight="14.5" x14ac:dyDescent="0.35"/>
  <cols>
    <col min="1" max="1" width="18" style="4" customWidth="1"/>
    <col min="2" max="2" width="16.453125" style="4" customWidth="1"/>
    <col min="3" max="3" width="8" style="4" customWidth="1"/>
    <col min="4" max="4" width="19.26953125" style="4" customWidth="1"/>
    <col min="5" max="5" width="8.7265625" style="4" customWidth="1"/>
    <col min="6" max="6" width="8.453125" style="4" customWidth="1"/>
    <col min="7" max="8" width="7.453125" style="4" customWidth="1"/>
    <col min="9" max="9" width="14.1796875" style="4" customWidth="1"/>
    <col min="10" max="10" width="12.453125" style="4" customWidth="1"/>
    <col min="11" max="11" width="12.54296875" style="4" customWidth="1"/>
    <col min="12" max="12" width="13.54296875" style="4" customWidth="1"/>
    <col min="13" max="13" width="15.1796875" style="4" customWidth="1"/>
    <col min="14" max="14" width="14.1796875" style="4" customWidth="1"/>
    <col min="15" max="15" width="32.1796875" style="20" hidden="1" customWidth="1"/>
    <col min="16" max="16" width="9.1796875" style="4"/>
    <col min="17" max="17" width="13.81640625" style="4" customWidth="1"/>
    <col min="18" max="16384" width="9.1796875" style="4"/>
  </cols>
  <sheetData>
    <row r="1" spans="1:17" ht="18.5" x14ac:dyDescent="0.45">
      <c r="A1" s="7" t="s">
        <v>76</v>
      </c>
      <c r="B1" s="7"/>
    </row>
    <row r="2" spans="1:17" ht="15.5" x14ac:dyDescent="0.35">
      <c r="A2" s="45" t="s">
        <v>12</v>
      </c>
      <c r="B2" s="8"/>
      <c r="M2" s="6"/>
    </row>
    <row r="3" spans="1:17" x14ac:dyDescent="0.35">
      <c r="A3" s="4" t="s">
        <v>30</v>
      </c>
      <c r="C3" s="3"/>
    </row>
    <row r="4" spans="1:17" x14ac:dyDescent="0.35">
      <c r="A4" s="4" t="s">
        <v>33</v>
      </c>
      <c r="D4" s="3"/>
      <c r="E4" s="3"/>
    </row>
    <row r="5" spans="1:17" ht="15" thickBot="1" x14ac:dyDescent="0.4">
      <c r="D5" s="3"/>
      <c r="E5" s="3"/>
    </row>
    <row r="6" spans="1:17" ht="36.75" customHeight="1" thickBot="1" x14ac:dyDescent="0.4">
      <c r="A6" s="73" t="s">
        <v>26</v>
      </c>
      <c r="B6" s="73" t="s">
        <v>72</v>
      </c>
      <c r="C6" s="125" t="s">
        <v>1</v>
      </c>
      <c r="D6" s="126"/>
      <c r="E6" s="74" t="s">
        <v>18</v>
      </c>
      <c r="F6" s="74"/>
      <c r="G6" s="74" t="s">
        <v>40</v>
      </c>
      <c r="H6" s="74"/>
      <c r="I6" s="73" t="s">
        <v>69</v>
      </c>
      <c r="J6" s="73" t="s">
        <v>23</v>
      </c>
      <c r="K6" s="73" t="s">
        <v>24</v>
      </c>
      <c r="L6" s="73" t="s">
        <v>67</v>
      </c>
      <c r="M6" s="73" t="s">
        <v>68</v>
      </c>
      <c r="N6" s="73" t="s">
        <v>27</v>
      </c>
      <c r="O6" s="21" t="s">
        <v>32</v>
      </c>
    </row>
    <row r="7" spans="1:17" ht="44.5" customHeight="1" thickBot="1" x14ac:dyDescent="0.4">
      <c r="A7" s="75"/>
      <c r="B7" s="75"/>
      <c r="C7" s="74" t="s">
        <v>3</v>
      </c>
      <c r="D7" s="74" t="s">
        <v>4</v>
      </c>
      <c r="E7" s="74" t="s">
        <v>5</v>
      </c>
      <c r="F7" s="74" t="s">
        <v>6</v>
      </c>
      <c r="G7" s="74" t="s">
        <v>5</v>
      </c>
      <c r="H7" s="74" t="s">
        <v>7</v>
      </c>
      <c r="I7" s="76" t="s">
        <v>70</v>
      </c>
      <c r="J7" s="76" t="s">
        <v>8</v>
      </c>
      <c r="K7" s="76" t="s">
        <v>25</v>
      </c>
      <c r="L7" s="76" t="s">
        <v>70</v>
      </c>
      <c r="M7" s="76" t="s">
        <v>70</v>
      </c>
      <c r="N7" s="76" t="s">
        <v>28</v>
      </c>
      <c r="O7" s="22"/>
      <c r="P7" s="5"/>
      <c r="Q7" s="5"/>
    </row>
    <row r="8" spans="1:17" ht="35.15" customHeight="1" thickBot="1" x14ac:dyDescent="0.4">
      <c r="A8" s="77" t="s">
        <v>172</v>
      </c>
      <c r="B8" s="46" t="s">
        <v>4</v>
      </c>
      <c r="C8" s="47"/>
      <c r="D8" s="47"/>
      <c r="E8" s="47">
        <v>2.5</v>
      </c>
      <c r="F8" s="48">
        <v>1000</v>
      </c>
      <c r="G8" s="47"/>
      <c r="H8" s="48"/>
      <c r="I8" s="47">
        <f>(D8)+(E8*12)</f>
        <v>30</v>
      </c>
      <c r="J8" s="47">
        <v>23.41</v>
      </c>
      <c r="K8" s="47">
        <v>11.14</v>
      </c>
      <c r="L8" s="47">
        <f>K8*12</f>
        <v>133.68</v>
      </c>
      <c r="M8" s="47">
        <f>J8+L8</f>
        <v>157.09</v>
      </c>
      <c r="N8" s="47">
        <f>I8+M8</f>
        <v>187.09</v>
      </c>
      <c r="O8" s="27" t="s">
        <v>163</v>
      </c>
      <c r="P8" s="6"/>
      <c r="Q8" s="6"/>
    </row>
    <row r="9" spans="1:17" ht="5.25" customHeight="1" thickBot="1" x14ac:dyDescent="0.4">
      <c r="A9" s="110"/>
      <c r="B9" s="111"/>
      <c r="C9" s="112"/>
      <c r="D9" s="112"/>
      <c r="E9" s="112"/>
      <c r="F9" s="113"/>
      <c r="G9" s="112"/>
      <c r="H9" s="113"/>
      <c r="I9" s="112"/>
      <c r="J9" s="112"/>
      <c r="K9" s="112"/>
      <c r="L9" s="112"/>
      <c r="M9" s="112"/>
      <c r="N9" s="112"/>
      <c r="O9" s="108"/>
      <c r="P9" s="6"/>
      <c r="Q9" s="6"/>
    </row>
    <row r="10" spans="1:17" ht="35.15" customHeight="1" thickBot="1" x14ac:dyDescent="0.4">
      <c r="A10" s="77" t="s">
        <v>136</v>
      </c>
      <c r="B10" s="46" t="s">
        <v>4</v>
      </c>
      <c r="C10" s="47"/>
      <c r="D10" s="47">
        <v>9.9499999999999993</v>
      </c>
      <c r="E10" s="47">
        <v>3.15</v>
      </c>
      <c r="F10" s="48">
        <v>1000</v>
      </c>
      <c r="G10" s="47"/>
      <c r="H10" s="48"/>
      <c r="I10" s="47">
        <f>(D10)+(E10*12)</f>
        <v>47.75</v>
      </c>
      <c r="J10" s="47">
        <v>23.41</v>
      </c>
      <c r="K10" s="47">
        <v>11.14</v>
      </c>
      <c r="L10" s="47">
        <f t="shared" ref="L10:L60" si="0">K10*12</f>
        <v>133.68</v>
      </c>
      <c r="M10" s="47">
        <f>J10+L10</f>
        <v>157.09</v>
      </c>
      <c r="N10" s="47">
        <f>I10+M10</f>
        <v>204.84</v>
      </c>
      <c r="O10" s="27" t="s">
        <v>135</v>
      </c>
      <c r="P10" s="6"/>
      <c r="Q10" s="6"/>
    </row>
    <row r="11" spans="1:17" ht="5.25" customHeight="1" thickBot="1" x14ac:dyDescent="0.4">
      <c r="A11" s="110"/>
      <c r="B11" s="111"/>
      <c r="C11" s="112"/>
      <c r="D11" s="112"/>
      <c r="E11" s="112"/>
      <c r="F11" s="113"/>
      <c r="G11" s="112"/>
      <c r="H11" s="113"/>
      <c r="I11" s="112"/>
      <c r="J11" s="112"/>
      <c r="K11" s="112"/>
      <c r="L11" s="112"/>
      <c r="M11" s="112"/>
      <c r="N11" s="112"/>
      <c r="O11" s="108"/>
      <c r="P11" s="6"/>
      <c r="Q11" s="6"/>
    </row>
    <row r="12" spans="1:17" ht="38.15" customHeight="1" thickBot="1" x14ac:dyDescent="0.4">
      <c r="A12" s="77" t="s">
        <v>50</v>
      </c>
      <c r="B12" s="46" t="s">
        <v>4</v>
      </c>
      <c r="C12" s="47"/>
      <c r="D12" s="47">
        <v>2.75</v>
      </c>
      <c r="E12" s="47">
        <v>3.25</v>
      </c>
      <c r="F12" s="48">
        <v>1000</v>
      </c>
      <c r="G12" s="47" t="s">
        <v>9</v>
      </c>
      <c r="H12" s="48" t="s">
        <v>9</v>
      </c>
      <c r="I12" s="47">
        <f>(D12)+(E12*12)</f>
        <v>41.75</v>
      </c>
      <c r="J12" s="47">
        <v>23.41</v>
      </c>
      <c r="K12" s="47">
        <v>11.14</v>
      </c>
      <c r="L12" s="47">
        <f t="shared" si="0"/>
        <v>133.68</v>
      </c>
      <c r="M12" s="47">
        <f>J12+L12</f>
        <v>157.09</v>
      </c>
      <c r="N12" s="47">
        <f>I12+M12</f>
        <v>198.84</v>
      </c>
      <c r="O12" s="27" t="s">
        <v>137</v>
      </c>
      <c r="P12" s="6"/>
      <c r="Q12" s="6"/>
    </row>
    <row r="13" spans="1:17" ht="5.25" customHeight="1" thickBot="1" x14ac:dyDescent="0.4">
      <c r="A13" s="110"/>
      <c r="B13" s="111"/>
      <c r="C13" s="112"/>
      <c r="D13" s="112"/>
      <c r="E13" s="112"/>
      <c r="F13" s="113"/>
      <c r="G13" s="112"/>
      <c r="H13" s="113"/>
      <c r="I13" s="112"/>
      <c r="J13" s="112"/>
      <c r="K13" s="112"/>
      <c r="L13" s="112"/>
      <c r="M13" s="112"/>
      <c r="N13" s="112"/>
      <c r="O13" s="108"/>
      <c r="P13" s="6"/>
      <c r="Q13" s="6"/>
    </row>
    <row r="14" spans="1:17" ht="38.15" customHeight="1" thickBot="1" x14ac:dyDescent="0.4">
      <c r="A14" s="77" t="s">
        <v>173</v>
      </c>
      <c r="B14" s="46"/>
      <c r="C14" s="47"/>
      <c r="D14" s="47"/>
      <c r="E14" s="47">
        <v>0</v>
      </c>
      <c r="F14" s="48">
        <v>1000</v>
      </c>
      <c r="G14" s="47"/>
      <c r="H14" s="48"/>
      <c r="I14" s="47">
        <f>(D14)+(E14*13)</f>
        <v>0</v>
      </c>
      <c r="J14" s="47">
        <v>23.41</v>
      </c>
      <c r="K14" s="47">
        <v>11.14</v>
      </c>
      <c r="L14" s="47">
        <f t="shared" si="0"/>
        <v>133.68</v>
      </c>
      <c r="M14" s="47">
        <f>J14+L14</f>
        <v>157.09</v>
      </c>
      <c r="N14" s="47">
        <f>I14+M14</f>
        <v>157.09</v>
      </c>
      <c r="O14" s="27" t="s">
        <v>138</v>
      </c>
      <c r="P14" s="6"/>
      <c r="Q14" s="6"/>
    </row>
    <row r="15" spans="1:17" ht="5.25" customHeight="1" thickBot="1" x14ac:dyDescent="0.4">
      <c r="A15" s="110"/>
      <c r="B15" s="111"/>
      <c r="C15" s="112"/>
      <c r="D15" s="112"/>
      <c r="E15" s="112"/>
      <c r="F15" s="113"/>
      <c r="G15" s="112"/>
      <c r="H15" s="113"/>
      <c r="I15" s="112"/>
      <c r="J15" s="112"/>
      <c r="K15" s="112"/>
      <c r="L15" s="112"/>
      <c r="M15" s="112"/>
      <c r="N15" s="112"/>
      <c r="O15" s="108"/>
      <c r="P15" s="6"/>
      <c r="Q15" s="6"/>
    </row>
    <row r="16" spans="1:17" ht="35.15" customHeight="1" thickBot="1" x14ac:dyDescent="0.4">
      <c r="A16" s="77" t="s">
        <v>63</v>
      </c>
      <c r="B16" s="46" t="s">
        <v>4</v>
      </c>
      <c r="C16" s="47"/>
      <c r="D16" s="47">
        <f>22.31-J16</f>
        <v>-1.1000000000000014</v>
      </c>
      <c r="E16" s="47">
        <f>13.69-K16</f>
        <v>2.5499999999999989</v>
      </c>
      <c r="F16" s="48">
        <v>1000</v>
      </c>
      <c r="G16" s="47"/>
      <c r="H16" s="48"/>
      <c r="I16" s="47">
        <f>(D16)+(E16*12)</f>
        <v>29.499999999999986</v>
      </c>
      <c r="J16" s="47">
        <v>23.41</v>
      </c>
      <c r="K16" s="47">
        <v>11.14</v>
      </c>
      <c r="L16" s="47">
        <f t="shared" si="0"/>
        <v>133.68</v>
      </c>
      <c r="M16" s="47">
        <f>J16+L16</f>
        <v>157.09</v>
      </c>
      <c r="N16" s="47">
        <f>I16+M16</f>
        <v>186.58999999999997</v>
      </c>
      <c r="O16" s="27" t="s">
        <v>167</v>
      </c>
      <c r="P16" s="6"/>
      <c r="Q16" s="6"/>
    </row>
    <row r="17" spans="1:17" ht="5.25" customHeight="1" thickBot="1" x14ac:dyDescent="0.4">
      <c r="A17" s="110"/>
      <c r="B17" s="111"/>
      <c r="C17" s="112"/>
      <c r="D17" s="112"/>
      <c r="E17" s="112"/>
      <c r="F17" s="113"/>
      <c r="G17" s="112"/>
      <c r="H17" s="113"/>
      <c r="I17" s="112"/>
      <c r="J17" s="112"/>
      <c r="K17" s="112"/>
      <c r="L17" s="112"/>
      <c r="M17" s="112"/>
      <c r="N17" s="112"/>
      <c r="O17" s="108"/>
      <c r="P17" s="6"/>
      <c r="Q17" s="6"/>
    </row>
    <row r="18" spans="1:17" ht="35.15" customHeight="1" thickBot="1" x14ac:dyDescent="0.4">
      <c r="A18" s="77" t="s">
        <v>22</v>
      </c>
      <c r="B18" s="46" t="s">
        <v>4</v>
      </c>
      <c r="C18" s="47"/>
      <c r="D18" s="47">
        <f>45</f>
        <v>45</v>
      </c>
      <c r="E18" s="47">
        <f>12.94-K18</f>
        <v>1.7999999999999989</v>
      </c>
      <c r="F18" s="48">
        <v>1000</v>
      </c>
      <c r="G18" s="47"/>
      <c r="H18" s="48"/>
      <c r="I18" s="47">
        <f>(D18)+(E18*12)</f>
        <v>66.599999999999994</v>
      </c>
      <c r="J18" s="47">
        <v>23.41</v>
      </c>
      <c r="K18" s="47">
        <v>11.14</v>
      </c>
      <c r="L18" s="47">
        <f t="shared" si="0"/>
        <v>133.68</v>
      </c>
      <c r="M18" s="47">
        <f>J18+L18</f>
        <v>157.09</v>
      </c>
      <c r="N18" s="47">
        <f>I18+M18</f>
        <v>223.69</v>
      </c>
      <c r="O18" s="27" t="s">
        <v>139</v>
      </c>
      <c r="P18" s="6"/>
      <c r="Q18" s="6"/>
    </row>
    <row r="19" spans="1:17" ht="5.25" customHeight="1" thickBot="1" x14ac:dyDescent="0.4">
      <c r="A19" s="110"/>
      <c r="B19" s="111"/>
      <c r="C19" s="112"/>
      <c r="D19" s="112"/>
      <c r="E19" s="112"/>
      <c r="F19" s="113"/>
      <c r="G19" s="112"/>
      <c r="H19" s="113"/>
      <c r="I19" s="112"/>
      <c r="J19" s="112"/>
      <c r="K19" s="112"/>
      <c r="L19" s="112"/>
      <c r="M19" s="112"/>
      <c r="N19" s="112"/>
      <c r="O19" s="108"/>
      <c r="P19" s="6"/>
      <c r="Q19" s="6"/>
    </row>
    <row r="20" spans="1:17" ht="35.15" customHeight="1" thickBot="1" x14ac:dyDescent="0.4">
      <c r="A20" s="77" t="s">
        <v>174</v>
      </c>
      <c r="B20" s="46" t="s">
        <v>4</v>
      </c>
      <c r="C20" s="47"/>
      <c r="D20" s="47">
        <v>2</v>
      </c>
      <c r="E20" s="47">
        <v>5.6</v>
      </c>
      <c r="F20" s="48">
        <v>1000</v>
      </c>
      <c r="G20" s="47" t="s">
        <v>9</v>
      </c>
      <c r="H20" s="48" t="s">
        <v>9</v>
      </c>
      <c r="I20" s="47">
        <f>(D20)+(E20*12)</f>
        <v>69.199999999999989</v>
      </c>
      <c r="J20" s="47">
        <v>23.41</v>
      </c>
      <c r="K20" s="47">
        <v>11.14</v>
      </c>
      <c r="L20" s="47">
        <f t="shared" si="0"/>
        <v>133.68</v>
      </c>
      <c r="M20" s="47">
        <f>J20+L20</f>
        <v>157.09</v>
      </c>
      <c r="N20" s="47">
        <f>I20+M20</f>
        <v>226.29</v>
      </c>
      <c r="O20" s="27" t="s">
        <v>140</v>
      </c>
      <c r="P20" s="6"/>
      <c r="Q20" s="6"/>
    </row>
    <row r="21" spans="1:17" ht="5.25" customHeight="1" thickBot="1" x14ac:dyDescent="0.4">
      <c r="A21" s="110"/>
      <c r="B21" s="111"/>
      <c r="C21" s="112"/>
      <c r="D21" s="112"/>
      <c r="E21" s="112"/>
      <c r="F21" s="113"/>
      <c r="G21" s="112"/>
      <c r="H21" s="113"/>
      <c r="I21" s="112"/>
      <c r="J21" s="112"/>
      <c r="K21" s="112"/>
      <c r="L21" s="112"/>
      <c r="M21" s="112"/>
      <c r="N21" s="112"/>
      <c r="O21" s="108"/>
      <c r="P21" s="6"/>
      <c r="Q21" s="6"/>
    </row>
    <row r="22" spans="1:17" ht="38.5" customHeight="1" thickBot="1" x14ac:dyDescent="0.4">
      <c r="A22" s="77" t="s">
        <v>17</v>
      </c>
      <c r="B22" s="46" t="s">
        <v>3</v>
      </c>
      <c r="C22" s="47">
        <f>12.5-(J22/3)</f>
        <v>4.6966666666666663</v>
      </c>
      <c r="D22" s="47"/>
      <c r="E22" s="47">
        <f>16.8-K22</f>
        <v>5.66</v>
      </c>
      <c r="F22" s="48">
        <v>1000</v>
      </c>
      <c r="G22" s="47"/>
      <c r="H22" s="48"/>
      <c r="I22" s="47">
        <f>(C22*3)+(E22*12)</f>
        <v>82.01</v>
      </c>
      <c r="J22" s="47">
        <v>23.41</v>
      </c>
      <c r="K22" s="47">
        <v>11.14</v>
      </c>
      <c r="L22" s="47">
        <f t="shared" si="0"/>
        <v>133.68</v>
      </c>
      <c r="M22" s="47">
        <f>J22+L22</f>
        <v>157.09</v>
      </c>
      <c r="N22" s="47">
        <f>I22+M22</f>
        <v>239.10000000000002</v>
      </c>
      <c r="O22" s="27" t="s">
        <v>141</v>
      </c>
      <c r="P22" s="6"/>
      <c r="Q22" s="6"/>
    </row>
    <row r="23" spans="1:17" ht="5.25" customHeight="1" thickBot="1" x14ac:dyDescent="0.4">
      <c r="A23" s="110"/>
      <c r="B23" s="111"/>
      <c r="C23" s="112"/>
      <c r="D23" s="112"/>
      <c r="E23" s="112"/>
      <c r="F23" s="113"/>
      <c r="G23" s="112"/>
      <c r="H23" s="113"/>
      <c r="I23" s="112"/>
      <c r="J23" s="112"/>
      <c r="K23" s="112"/>
      <c r="L23" s="112"/>
      <c r="M23" s="112"/>
      <c r="N23" s="112"/>
      <c r="O23" s="108"/>
      <c r="P23" s="6"/>
      <c r="Q23" s="6"/>
    </row>
    <row r="24" spans="1:17" ht="35.15" customHeight="1" thickBot="1" x14ac:dyDescent="0.4">
      <c r="A24" s="77" t="s">
        <v>175</v>
      </c>
      <c r="B24" s="46" t="s">
        <v>4</v>
      </c>
      <c r="C24" s="47"/>
      <c r="D24" s="47">
        <v>60</v>
      </c>
      <c r="E24" s="47">
        <v>4.66</v>
      </c>
      <c r="F24" s="48">
        <v>1000</v>
      </c>
      <c r="G24" s="47" t="s">
        <v>9</v>
      </c>
      <c r="H24" s="48" t="s">
        <v>9</v>
      </c>
      <c r="I24" s="47">
        <f t="shared" ref="I24:I36" si="1">(D24)+(E24*12)</f>
        <v>115.92</v>
      </c>
      <c r="J24" s="47">
        <v>23.41</v>
      </c>
      <c r="K24" s="47">
        <v>11.14</v>
      </c>
      <c r="L24" s="47">
        <f t="shared" si="0"/>
        <v>133.68</v>
      </c>
      <c r="M24" s="47">
        <f>J24+L24</f>
        <v>157.09</v>
      </c>
      <c r="N24" s="47">
        <f>I24+M24</f>
        <v>273.01</v>
      </c>
      <c r="O24" s="27" t="s">
        <v>142</v>
      </c>
      <c r="P24" s="6"/>
      <c r="Q24" s="6"/>
    </row>
    <row r="25" spans="1:17" ht="5.25" customHeight="1" thickBot="1" x14ac:dyDescent="0.4">
      <c r="A25" s="110"/>
      <c r="B25" s="111"/>
      <c r="C25" s="112"/>
      <c r="D25" s="112"/>
      <c r="E25" s="112"/>
      <c r="F25" s="113"/>
      <c r="G25" s="112"/>
      <c r="H25" s="113"/>
      <c r="I25" s="112"/>
      <c r="J25" s="112"/>
      <c r="K25" s="112"/>
      <c r="L25" s="112"/>
      <c r="M25" s="112"/>
      <c r="N25" s="112"/>
      <c r="O25" s="108"/>
      <c r="P25" s="6"/>
      <c r="Q25" s="6"/>
    </row>
    <row r="26" spans="1:17" ht="46" customHeight="1" thickBot="1" x14ac:dyDescent="0.4">
      <c r="A26" s="77" t="s">
        <v>54</v>
      </c>
      <c r="B26" s="46" t="s">
        <v>4</v>
      </c>
      <c r="C26" s="47"/>
      <c r="D26" s="47">
        <f>23.75-J26</f>
        <v>0.33999999999999986</v>
      </c>
      <c r="E26" s="47">
        <f>8.66-K26</f>
        <v>-2.4800000000000004</v>
      </c>
      <c r="F26" s="48">
        <v>1000</v>
      </c>
      <c r="G26" s="47"/>
      <c r="H26" s="48"/>
      <c r="I26" s="47">
        <f t="shared" si="1"/>
        <v>-29.420000000000005</v>
      </c>
      <c r="J26" s="47">
        <v>23.41</v>
      </c>
      <c r="K26" s="47">
        <v>11.14</v>
      </c>
      <c r="L26" s="47">
        <f t="shared" si="0"/>
        <v>133.68</v>
      </c>
      <c r="M26" s="47">
        <f>J26+L26</f>
        <v>157.09</v>
      </c>
      <c r="N26" s="47">
        <f>I26+M26</f>
        <v>127.67</v>
      </c>
      <c r="O26" s="27" t="s">
        <v>147</v>
      </c>
      <c r="P26" s="6"/>
      <c r="Q26" s="6"/>
    </row>
    <row r="27" spans="1:17" ht="5.25" customHeight="1" thickBot="1" x14ac:dyDescent="0.4">
      <c r="A27" s="110"/>
      <c r="B27" s="111"/>
      <c r="C27" s="112"/>
      <c r="D27" s="112"/>
      <c r="E27" s="112"/>
      <c r="F27" s="113"/>
      <c r="G27" s="112"/>
      <c r="H27" s="113"/>
      <c r="I27" s="112"/>
      <c r="J27" s="112"/>
      <c r="K27" s="112"/>
      <c r="L27" s="112"/>
      <c r="M27" s="112"/>
      <c r="N27" s="112"/>
      <c r="O27" s="108"/>
      <c r="P27" s="6"/>
      <c r="Q27" s="6"/>
    </row>
    <row r="28" spans="1:17" ht="58" customHeight="1" thickBot="1" x14ac:dyDescent="0.4">
      <c r="A28" s="77" t="s">
        <v>176</v>
      </c>
      <c r="B28" s="46" t="s">
        <v>4</v>
      </c>
      <c r="C28" s="47"/>
      <c r="D28" s="47">
        <v>50</v>
      </c>
      <c r="E28" s="47">
        <v>3</v>
      </c>
      <c r="F28" s="48">
        <v>1000</v>
      </c>
      <c r="G28" s="47"/>
      <c r="H28" s="48"/>
      <c r="I28" s="47">
        <f t="shared" si="1"/>
        <v>86</v>
      </c>
      <c r="J28" s="47">
        <v>23.41</v>
      </c>
      <c r="K28" s="47">
        <v>11.14</v>
      </c>
      <c r="L28" s="47">
        <f t="shared" si="0"/>
        <v>133.68</v>
      </c>
      <c r="M28" s="47">
        <f>J28+L28</f>
        <v>157.09</v>
      </c>
      <c r="N28" s="47">
        <f>I28+M28</f>
        <v>243.09</v>
      </c>
      <c r="O28" s="27" t="s">
        <v>144</v>
      </c>
      <c r="P28" s="6"/>
      <c r="Q28" s="6"/>
    </row>
    <row r="29" spans="1:17" ht="5.25" customHeight="1" thickBot="1" x14ac:dyDescent="0.4">
      <c r="A29" s="110"/>
      <c r="B29" s="111"/>
      <c r="C29" s="112"/>
      <c r="D29" s="112"/>
      <c r="E29" s="112"/>
      <c r="F29" s="113"/>
      <c r="G29" s="112"/>
      <c r="H29" s="113"/>
      <c r="I29" s="112"/>
      <c r="J29" s="112"/>
      <c r="K29" s="112"/>
      <c r="L29" s="112"/>
      <c r="M29" s="112"/>
      <c r="N29" s="112"/>
      <c r="O29" s="108"/>
      <c r="P29" s="6"/>
      <c r="Q29" s="6"/>
    </row>
    <row r="30" spans="1:17" ht="35.15" customHeight="1" thickBot="1" x14ac:dyDescent="0.4">
      <c r="A30" s="77" t="s">
        <v>177</v>
      </c>
      <c r="B30" s="46" t="s">
        <v>4</v>
      </c>
      <c r="C30" s="47"/>
      <c r="D30" s="47"/>
      <c r="E30" s="47">
        <v>3</v>
      </c>
      <c r="F30" s="48">
        <v>1000</v>
      </c>
      <c r="G30" s="47"/>
      <c r="H30" s="48"/>
      <c r="I30" s="47">
        <f t="shared" si="1"/>
        <v>36</v>
      </c>
      <c r="J30" s="47">
        <v>23.41</v>
      </c>
      <c r="K30" s="47">
        <v>11.14</v>
      </c>
      <c r="L30" s="47">
        <f t="shared" si="0"/>
        <v>133.68</v>
      </c>
      <c r="M30" s="47">
        <f>J30+L30</f>
        <v>157.09</v>
      </c>
      <c r="N30" s="47">
        <f>I30+M30</f>
        <v>193.09</v>
      </c>
      <c r="O30" s="27" t="s">
        <v>146</v>
      </c>
      <c r="P30" s="6"/>
      <c r="Q30" s="6"/>
    </row>
    <row r="31" spans="1:17" ht="5.25" customHeight="1" thickBot="1" x14ac:dyDescent="0.4">
      <c r="A31" s="110"/>
      <c r="B31" s="111"/>
      <c r="C31" s="112"/>
      <c r="D31" s="112"/>
      <c r="E31" s="112"/>
      <c r="F31" s="113"/>
      <c r="G31" s="112"/>
      <c r="H31" s="113"/>
      <c r="I31" s="112"/>
      <c r="J31" s="112"/>
      <c r="K31" s="112"/>
      <c r="L31" s="112"/>
      <c r="M31" s="112"/>
      <c r="N31" s="112"/>
      <c r="O31" s="108"/>
      <c r="P31" s="6"/>
      <c r="Q31" s="6"/>
    </row>
    <row r="32" spans="1:17" ht="51" customHeight="1" thickBot="1" x14ac:dyDescent="0.4">
      <c r="A32" s="77" t="s">
        <v>178</v>
      </c>
      <c r="B32" s="46" t="s">
        <v>4</v>
      </c>
      <c r="C32" s="47"/>
      <c r="D32" s="47">
        <v>95</v>
      </c>
      <c r="E32" s="47">
        <v>3</v>
      </c>
      <c r="F32" s="48">
        <v>1000</v>
      </c>
      <c r="G32" s="47"/>
      <c r="H32" s="48"/>
      <c r="I32" s="47">
        <f t="shared" si="1"/>
        <v>131</v>
      </c>
      <c r="J32" s="47">
        <v>23.41</v>
      </c>
      <c r="K32" s="47">
        <v>11.14</v>
      </c>
      <c r="L32" s="47">
        <f t="shared" si="0"/>
        <v>133.68</v>
      </c>
      <c r="M32" s="47">
        <f>J32+L32</f>
        <v>157.09</v>
      </c>
      <c r="N32" s="47">
        <f>I32+M32</f>
        <v>288.09000000000003</v>
      </c>
      <c r="O32" s="27" t="s">
        <v>145</v>
      </c>
      <c r="P32" s="6"/>
      <c r="Q32" s="6"/>
    </row>
    <row r="33" spans="1:17" ht="5.25" customHeight="1" thickBot="1" x14ac:dyDescent="0.4">
      <c r="A33" s="110"/>
      <c r="B33" s="111"/>
      <c r="C33" s="112"/>
      <c r="D33" s="112"/>
      <c r="E33" s="112"/>
      <c r="F33" s="113"/>
      <c r="G33" s="112"/>
      <c r="H33" s="113"/>
      <c r="I33" s="112"/>
      <c r="J33" s="112"/>
      <c r="K33" s="112"/>
      <c r="L33" s="112"/>
      <c r="M33" s="112"/>
      <c r="N33" s="112"/>
      <c r="O33" s="108"/>
      <c r="P33" s="6"/>
      <c r="Q33" s="6"/>
    </row>
    <row r="34" spans="1:17" ht="33.65" customHeight="1" thickBot="1" x14ac:dyDescent="0.4">
      <c r="A34" s="77" t="s">
        <v>179</v>
      </c>
      <c r="B34" s="46" t="s">
        <v>4</v>
      </c>
      <c r="C34" s="47"/>
      <c r="D34" s="47">
        <v>2</v>
      </c>
      <c r="E34" s="47">
        <f>4</f>
        <v>4</v>
      </c>
      <c r="F34" s="48">
        <v>1000</v>
      </c>
      <c r="G34" s="47"/>
      <c r="H34" s="48"/>
      <c r="I34" s="47">
        <f t="shared" si="1"/>
        <v>50</v>
      </c>
      <c r="J34" s="47">
        <v>23.41</v>
      </c>
      <c r="K34" s="47">
        <v>11.14</v>
      </c>
      <c r="L34" s="47">
        <f t="shared" si="0"/>
        <v>133.68</v>
      </c>
      <c r="M34" s="47">
        <f>J34+L34</f>
        <v>157.09</v>
      </c>
      <c r="N34" s="47">
        <f>I34+M34</f>
        <v>207.09</v>
      </c>
      <c r="O34" s="27" t="s">
        <v>168</v>
      </c>
      <c r="P34" s="6"/>
      <c r="Q34" s="6"/>
    </row>
    <row r="35" spans="1:17" ht="5.25" customHeight="1" thickBot="1" x14ac:dyDescent="0.4">
      <c r="A35" s="110"/>
      <c r="B35" s="111"/>
      <c r="C35" s="112"/>
      <c r="D35" s="112"/>
      <c r="E35" s="112"/>
      <c r="F35" s="113"/>
      <c r="G35" s="112"/>
      <c r="H35" s="113"/>
      <c r="I35" s="112"/>
      <c r="J35" s="112"/>
      <c r="K35" s="112"/>
      <c r="L35" s="112"/>
      <c r="M35" s="112"/>
      <c r="N35" s="112"/>
      <c r="O35" s="108"/>
      <c r="P35" s="6"/>
      <c r="Q35" s="6"/>
    </row>
    <row r="36" spans="1:17" ht="35.15" customHeight="1" thickBot="1" x14ac:dyDescent="0.4">
      <c r="A36" s="77" t="s">
        <v>53</v>
      </c>
      <c r="B36" s="46" t="s">
        <v>4</v>
      </c>
      <c r="C36" s="47"/>
      <c r="D36" s="47">
        <f>23.75-J36</f>
        <v>0.33999999999999986</v>
      </c>
      <c r="E36" s="47">
        <f>8.66-K36</f>
        <v>-2.4800000000000004</v>
      </c>
      <c r="F36" s="48">
        <v>1000</v>
      </c>
      <c r="G36" s="47"/>
      <c r="H36" s="48"/>
      <c r="I36" s="47">
        <f t="shared" si="1"/>
        <v>-29.420000000000005</v>
      </c>
      <c r="J36" s="47">
        <v>23.41</v>
      </c>
      <c r="K36" s="47">
        <v>11.14</v>
      </c>
      <c r="L36" s="47">
        <f t="shared" si="0"/>
        <v>133.68</v>
      </c>
      <c r="M36" s="47">
        <f>J36+L36</f>
        <v>157.09</v>
      </c>
      <c r="N36" s="47">
        <f>I36+M36</f>
        <v>127.67</v>
      </c>
      <c r="O36" s="27" t="s">
        <v>148</v>
      </c>
      <c r="P36" s="6"/>
      <c r="Q36" s="6"/>
    </row>
    <row r="37" spans="1:17" ht="5.25" customHeight="1" thickBot="1" x14ac:dyDescent="0.4">
      <c r="A37" s="110"/>
      <c r="B37" s="111"/>
      <c r="C37" s="112"/>
      <c r="D37" s="112"/>
      <c r="E37" s="112"/>
      <c r="F37" s="113"/>
      <c r="G37" s="112"/>
      <c r="H37" s="113"/>
      <c r="I37" s="112"/>
      <c r="J37" s="112"/>
      <c r="K37" s="112"/>
      <c r="L37" s="112"/>
      <c r="M37" s="112"/>
      <c r="N37" s="112"/>
      <c r="O37" s="108"/>
      <c r="P37" s="6"/>
      <c r="Q37" s="6"/>
    </row>
    <row r="38" spans="1:17" ht="40" customHeight="1" thickBot="1" x14ac:dyDescent="0.4">
      <c r="A38" s="77" t="s">
        <v>75</v>
      </c>
      <c r="B38" s="46" t="s">
        <v>3</v>
      </c>
      <c r="C38" s="47">
        <f>1.55</f>
        <v>1.55</v>
      </c>
      <c r="D38" s="47"/>
      <c r="E38" s="47">
        <v>14.5</v>
      </c>
      <c r="F38" s="48">
        <v>5000</v>
      </c>
      <c r="G38" s="47">
        <f>6+2.1</f>
        <v>8.1</v>
      </c>
      <c r="H38" s="48">
        <v>5001</v>
      </c>
      <c r="I38" s="47">
        <f>(C38*3)+(E38*3)</f>
        <v>48.15</v>
      </c>
      <c r="J38" s="47">
        <v>23.41</v>
      </c>
      <c r="K38" s="47">
        <v>11.14</v>
      </c>
      <c r="L38" s="47">
        <f t="shared" si="0"/>
        <v>133.68</v>
      </c>
      <c r="M38" s="47">
        <f>J38+L38</f>
        <v>157.09</v>
      </c>
      <c r="N38" s="47">
        <f>I38+M38</f>
        <v>205.24</v>
      </c>
      <c r="O38" s="27" t="s">
        <v>149</v>
      </c>
      <c r="P38" s="6"/>
      <c r="Q38" s="6"/>
    </row>
    <row r="39" spans="1:17" ht="5.25" customHeight="1" thickBot="1" x14ac:dyDescent="0.4">
      <c r="A39" s="110"/>
      <c r="B39" s="111"/>
      <c r="C39" s="112"/>
      <c r="D39" s="112"/>
      <c r="E39" s="112"/>
      <c r="F39" s="113"/>
      <c r="G39" s="112"/>
      <c r="H39" s="113"/>
      <c r="I39" s="112"/>
      <c r="J39" s="112"/>
      <c r="K39" s="112"/>
      <c r="L39" s="112"/>
      <c r="M39" s="112"/>
      <c r="N39" s="112"/>
      <c r="O39" s="108"/>
      <c r="P39" s="6"/>
      <c r="Q39" s="6"/>
    </row>
    <row r="40" spans="1:17" ht="35.15" customHeight="1" thickBot="1" x14ac:dyDescent="0.4">
      <c r="A40" s="77" t="s">
        <v>180</v>
      </c>
      <c r="B40" s="46" t="s">
        <v>4</v>
      </c>
      <c r="C40" s="47"/>
      <c r="D40" s="47"/>
      <c r="E40" s="47">
        <f>39-J40 - (K40*3)</f>
        <v>-17.830000000000002</v>
      </c>
      <c r="F40" s="48">
        <v>3000</v>
      </c>
      <c r="G40" s="47">
        <f>21.75-K40</f>
        <v>10.61</v>
      </c>
      <c r="H40" s="48">
        <v>3001</v>
      </c>
      <c r="I40" s="47">
        <f>(E40) +(G40*9)-J40</f>
        <v>54.25</v>
      </c>
      <c r="J40" s="47">
        <v>23.41</v>
      </c>
      <c r="K40" s="47">
        <v>11.14</v>
      </c>
      <c r="L40" s="47">
        <f t="shared" si="0"/>
        <v>133.68</v>
      </c>
      <c r="M40" s="47">
        <f>J40+L40</f>
        <v>157.09</v>
      </c>
      <c r="N40" s="47">
        <f>I40+M40</f>
        <v>211.34</v>
      </c>
      <c r="O40" s="27" t="s">
        <v>150</v>
      </c>
      <c r="P40" s="6"/>
      <c r="Q40" s="6"/>
    </row>
    <row r="41" spans="1:17" ht="5.25" customHeight="1" thickBot="1" x14ac:dyDescent="0.4">
      <c r="A41" s="110"/>
      <c r="B41" s="111"/>
      <c r="C41" s="112"/>
      <c r="D41" s="112"/>
      <c r="E41" s="112"/>
      <c r="F41" s="113"/>
      <c r="G41" s="112"/>
      <c r="H41" s="113"/>
      <c r="I41" s="112"/>
      <c r="J41" s="112"/>
      <c r="K41" s="112"/>
      <c r="L41" s="112"/>
      <c r="M41" s="112"/>
      <c r="N41" s="112"/>
      <c r="O41" s="108"/>
      <c r="P41" s="6"/>
      <c r="Q41" s="6"/>
    </row>
    <row r="42" spans="1:17" ht="50.15" customHeight="1" thickBot="1" x14ac:dyDescent="0.4">
      <c r="A42" s="77" t="s">
        <v>58</v>
      </c>
      <c r="B42" s="46" t="s">
        <v>4</v>
      </c>
      <c r="C42" s="47"/>
      <c r="D42" s="47">
        <v>7.45</v>
      </c>
      <c r="E42" s="47">
        <v>3.1</v>
      </c>
      <c r="F42" s="48">
        <v>1000</v>
      </c>
      <c r="G42" s="47"/>
      <c r="H42" s="48"/>
      <c r="I42" s="47">
        <f>(D42)+(E42*12)</f>
        <v>44.650000000000006</v>
      </c>
      <c r="J42" s="47">
        <v>23.41</v>
      </c>
      <c r="K42" s="47">
        <v>11.14</v>
      </c>
      <c r="L42" s="47">
        <f t="shared" si="0"/>
        <v>133.68</v>
      </c>
      <c r="M42" s="47">
        <f>J42+L42</f>
        <v>157.09</v>
      </c>
      <c r="N42" s="47">
        <f>I42+M42</f>
        <v>201.74</v>
      </c>
      <c r="O42" s="27" t="s">
        <v>143</v>
      </c>
      <c r="P42" s="6"/>
      <c r="Q42" s="6"/>
    </row>
    <row r="43" spans="1:17" ht="6.75" customHeight="1" thickBot="1" x14ac:dyDescent="0.4">
      <c r="A43" s="114"/>
      <c r="B43" s="111"/>
      <c r="C43" s="112"/>
      <c r="D43" s="112"/>
      <c r="E43" s="112"/>
      <c r="F43" s="113"/>
      <c r="G43" s="112"/>
      <c r="H43" s="113"/>
      <c r="I43" s="112"/>
      <c r="J43" s="112"/>
      <c r="K43" s="112"/>
      <c r="L43" s="112"/>
      <c r="M43" s="112"/>
      <c r="N43" s="112"/>
      <c r="O43" s="108"/>
      <c r="P43" s="6"/>
      <c r="Q43" s="6"/>
    </row>
    <row r="44" spans="1:17" ht="51.75" customHeight="1" thickBot="1" x14ac:dyDescent="0.4">
      <c r="A44" s="77" t="s">
        <v>181</v>
      </c>
      <c r="B44" s="46" t="s">
        <v>4</v>
      </c>
      <c r="C44" s="47"/>
      <c r="D44" s="47">
        <f>62.58-J44</f>
        <v>39.17</v>
      </c>
      <c r="E44" s="47">
        <f>11.04-K44</f>
        <v>-0.10000000000000142</v>
      </c>
      <c r="F44" s="48">
        <v>1000</v>
      </c>
      <c r="G44" s="47"/>
      <c r="H44" s="48"/>
      <c r="I44" s="47">
        <f>(D44)+(E44*12)</f>
        <v>37.969999999999985</v>
      </c>
      <c r="J44" s="47">
        <v>23.41</v>
      </c>
      <c r="K44" s="47">
        <v>11.14</v>
      </c>
      <c r="L44" s="47">
        <f>K44*12</f>
        <v>133.68</v>
      </c>
      <c r="M44" s="47">
        <f>J44+L44</f>
        <v>157.09</v>
      </c>
      <c r="N44" s="47">
        <f>I44+M44</f>
        <v>195.06</v>
      </c>
      <c r="O44" s="119" t="s">
        <v>151</v>
      </c>
      <c r="P44" s="6"/>
      <c r="Q44" s="6"/>
    </row>
    <row r="45" spans="1:17" ht="5.25" customHeight="1" thickBot="1" x14ac:dyDescent="0.4">
      <c r="A45" s="110"/>
      <c r="B45" s="111"/>
      <c r="C45" s="112"/>
      <c r="D45" s="112"/>
      <c r="E45" s="112"/>
      <c r="F45" s="113"/>
      <c r="G45" s="112"/>
      <c r="H45" s="113"/>
      <c r="I45" s="112"/>
      <c r="J45" s="112"/>
      <c r="K45" s="112"/>
      <c r="L45" s="112"/>
      <c r="M45" s="112"/>
      <c r="N45" s="112"/>
      <c r="O45" s="108"/>
      <c r="P45" s="6"/>
      <c r="Q45" s="6"/>
    </row>
    <row r="46" spans="1:17" ht="50.5" customHeight="1" thickBot="1" x14ac:dyDescent="0.4">
      <c r="A46" s="116" t="s">
        <v>10</v>
      </c>
      <c r="B46" s="57" t="s">
        <v>3</v>
      </c>
      <c r="C46" s="47"/>
      <c r="D46" s="47"/>
      <c r="E46" s="47">
        <f>8.25</f>
        <v>8.25</v>
      </c>
      <c r="F46" s="48">
        <v>3000</v>
      </c>
      <c r="G46" s="47">
        <v>6.68</v>
      </c>
      <c r="H46" s="48">
        <v>3001</v>
      </c>
      <c r="I46" s="47">
        <f>(C46*3)+(E46*3)+(G46*9)</f>
        <v>84.87</v>
      </c>
      <c r="J46" s="47">
        <v>23.41</v>
      </c>
      <c r="K46" s="47">
        <v>11.14</v>
      </c>
      <c r="L46" s="47">
        <f t="shared" si="0"/>
        <v>133.68</v>
      </c>
      <c r="M46" s="47">
        <f>J46+L46</f>
        <v>157.09</v>
      </c>
      <c r="N46" s="47">
        <f>I46+M46</f>
        <v>241.96</v>
      </c>
      <c r="O46" s="27" t="s">
        <v>84</v>
      </c>
      <c r="P46" s="6"/>
      <c r="Q46" s="6"/>
    </row>
    <row r="47" spans="1:17" ht="5.25" customHeight="1" thickBot="1" x14ac:dyDescent="0.4">
      <c r="A47" s="114"/>
      <c r="B47" s="111"/>
      <c r="C47" s="112"/>
      <c r="D47" s="112"/>
      <c r="E47" s="112"/>
      <c r="F47" s="113"/>
      <c r="G47" s="112"/>
      <c r="H47" s="113"/>
      <c r="I47" s="112"/>
      <c r="J47" s="112"/>
      <c r="K47" s="112"/>
      <c r="L47" s="112"/>
      <c r="M47" s="112"/>
      <c r="N47" s="112"/>
      <c r="O47" s="108"/>
      <c r="P47" s="6"/>
      <c r="Q47" s="6"/>
    </row>
    <row r="48" spans="1:17" ht="48" customHeight="1" thickBot="1" x14ac:dyDescent="0.4">
      <c r="A48" s="77" t="s">
        <v>52</v>
      </c>
      <c r="B48" s="46" t="s">
        <v>4</v>
      </c>
      <c r="C48" s="47"/>
      <c r="D48" s="47"/>
      <c r="E48" s="47">
        <f>14.27-K48</f>
        <v>3.129999999999999</v>
      </c>
      <c r="F48" s="48">
        <v>1000</v>
      </c>
      <c r="G48" s="47"/>
      <c r="H48" s="48"/>
      <c r="I48" s="47">
        <f>E48*12</f>
        <v>37.559999999999988</v>
      </c>
      <c r="J48" s="47">
        <v>23.41</v>
      </c>
      <c r="K48" s="47">
        <v>11.14</v>
      </c>
      <c r="L48" s="47">
        <f t="shared" si="0"/>
        <v>133.68</v>
      </c>
      <c r="M48" s="47">
        <f>J48+L48</f>
        <v>157.09</v>
      </c>
      <c r="N48" s="47">
        <f>I48+M48</f>
        <v>194.64999999999998</v>
      </c>
      <c r="O48" s="27" t="s">
        <v>152</v>
      </c>
      <c r="P48" s="6"/>
      <c r="Q48" s="6"/>
    </row>
    <row r="49" spans="1:17" ht="5.25" customHeight="1" thickBot="1" x14ac:dyDescent="0.4">
      <c r="A49" s="110"/>
      <c r="B49" s="111"/>
      <c r="C49" s="112"/>
      <c r="D49" s="112"/>
      <c r="E49" s="112"/>
      <c r="F49" s="113"/>
      <c r="G49" s="112"/>
      <c r="H49" s="113"/>
      <c r="I49" s="112"/>
      <c r="J49" s="112"/>
      <c r="K49" s="112"/>
      <c r="L49" s="112"/>
      <c r="M49" s="112"/>
      <c r="N49" s="112"/>
      <c r="O49" s="108"/>
      <c r="P49" s="6"/>
      <c r="Q49" s="6"/>
    </row>
    <row r="50" spans="1:17" ht="52" customHeight="1" thickBot="1" x14ac:dyDescent="0.4">
      <c r="A50" s="77" t="s">
        <v>74</v>
      </c>
      <c r="B50" s="46" t="s">
        <v>4</v>
      </c>
      <c r="C50" s="47"/>
      <c r="D50" s="47">
        <v>17.5</v>
      </c>
      <c r="E50" s="47">
        <f>14.27-K50</f>
        <v>3.129999999999999</v>
      </c>
      <c r="F50" s="48">
        <v>1000</v>
      </c>
      <c r="G50" s="47"/>
      <c r="H50" s="48"/>
      <c r="I50" s="47">
        <f>D50+(E50)*12</f>
        <v>55.059999999999988</v>
      </c>
      <c r="J50" s="47">
        <v>23.41</v>
      </c>
      <c r="K50" s="47">
        <v>11.14</v>
      </c>
      <c r="L50" s="47">
        <f t="shared" si="0"/>
        <v>133.68</v>
      </c>
      <c r="M50" s="47">
        <f>J50+L50</f>
        <v>157.09</v>
      </c>
      <c r="N50" s="47">
        <f>I50+M50</f>
        <v>212.14999999999998</v>
      </c>
      <c r="O50" s="27" t="s">
        <v>153</v>
      </c>
      <c r="P50" s="6"/>
      <c r="Q50" s="6"/>
    </row>
    <row r="51" spans="1:17" ht="5.25" customHeight="1" thickBot="1" x14ac:dyDescent="0.4">
      <c r="A51" s="110"/>
      <c r="B51" s="111"/>
      <c r="C51" s="112"/>
      <c r="D51" s="112"/>
      <c r="E51" s="112"/>
      <c r="F51" s="113"/>
      <c r="G51" s="112"/>
      <c r="H51" s="113"/>
      <c r="I51" s="112"/>
      <c r="J51" s="112"/>
      <c r="K51" s="112"/>
      <c r="L51" s="112"/>
      <c r="M51" s="112"/>
      <c r="N51" s="112"/>
      <c r="O51" s="108"/>
      <c r="P51" s="6"/>
      <c r="Q51" s="6"/>
    </row>
    <row r="52" spans="1:17" ht="35.15" customHeight="1" thickBot="1" x14ac:dyDescent="0.4">
      <c r="A52" s="77" t="s">
        <v>155</v>
      </c>
      <c r="B52" s="46" t="s">
        <v>3</v>
      </c>
      <c r="C52" s="47">
        <v>1.5</v>
      </c>
      <c r="D52" s="47"/>
      <c r="E52" s="47">
        <v>4.82</v>
      </c>
      <c r="F52" s="48">
        <v>1000</v>
      </c>
      <c r="G52" s="47"/>
      <c r="H52" s="48"/>
      <c r="I52" s="47">
        <f>(C52*3)+(E52*12)</f>
        <v>62.34</v>
      </c>
      <c r="J52" s="47">
        <v>23.41</v>
      </c>
      <c r="K52" s="47">
        <v>11.14</v>
      </c>
      <c r="L52" s="47">
        <f t="shared" si="0"/>
        <v>133.68</v>
      </c>
      <c r="M52" s="47">
        <f>J52+L52</f>
        <v>157.09</v>
      </c>
      <c r="N52" s="47">
        <f>I52+M52</f>
        <v>219.43</v>
      </c>
      <c r="O52" s="27" t="s">
        <v>154</v>
      </c>
      <c r="P52" s="6"/>
      <c r="Q52" s="6"/>
    </row>
    <row r="53" spans="1:17" ht="5.25" customHeight="1" thickBot="1" x14ac:dyDescent="0.4">
      <c r="A53" s="110"/>
      <c r="B53" s="111"/>
      <c r="C53" s="112"/>
      <c r="D53" s="112"/>
      <c r="E53" s="112"/>
      <c r="F53" s="113"/>
      <c r="G53" s="112"/>
      <c r="H53" s="113"/>
      <c r="I53" s="112"/>
      <c r="J53" s="112"/>
      <c r="K53" s="112"/>
      <c r="L53" s="112"/>
      <c r="M53" s="112"/>
      <c r="N53" s="112"/>
      <c r="O53" s="108"/>
      <c r="P53" s="6"/>
      <c r="Q53" s="6"/>
    </row>
    <row r="54" spans="1:17" s="13" customFormat="1" ht="59.15" customHeight="1" thickBot="1" x14ac:dyDescent="0.4">
      <c r="A54" s="77" t="s">
        <v>55</v>
      </c>
      <c r="B54" s="46" t="s">
        <v>44</v>
      </c>
      <c r="C54" s="47">
        <v>3.62</v>
      </c>
      <c r="D54" s="47"/>
      <c r="E54" s="47">
        <v>3</v>
      </c>
      <c r="F54" s="48">
        <v>1000</v>
      </c>
      <c r="G54" s="47" t="s">
        <v>9</v>
      </c>
      <c r="H54" s="48" t="s">
        <v>9</v>
      </c>
      <c r="I54" s="47">
        <f>(C54*3)+(E54*12)</f>
        <v>46.86</v>
      </c>
      <c r="J54" s="47">
        <v>23.41</v>
      </c>
      <c r="K54" s="47">
        <v>11.14</v>
      </c>
      <c r="L54" s="47">
        <f t="shared" si="0"/>
        <v>133.68</v>
      </c>
      <c r="M54" s="47">
        <f>J54+L54</f>
        <v>157.09</v>
      </c>
      <c r="N54" s="47">
        <f>I54+M54</f>
        <v>203.95</v>
      </c>
      <c r="O54" s="27" t="s">
        <v>156</v>
      </c>
      <c r="P54" s="32"/>
      <c r="Q54" s="32"/>
    </row>
    <row r="55" spans="1:17" s="13" customFormat="1" ht="5.25" customHeight="1" thickBot="1" x14ac:dyDescent="0.4">
      <c r="A55" s="110"/>
      <c r="B55" s="111"/>
      <c r="C55" s="112"/>
      <c r="D55" s="112"/>
      <c r="E55" s="112"/>
      <c r="F55" s="113"/>
      <c r="G55" s="112"/>
      <c r="H55" s="113"/>
      <c r="I55" s="112"/>
      <c r="J55" s="112"/>
      <c r="K55" s="112"/>
      <c r="L55" s="112"/>
      <c r="M55" s="112"/>
      <c r="N55" s="112"/>
      <c r="O55" s="108"/>
      <c r="P55" s="32"/>
      <c r="Q55" s="32"/>
    </row>
    <row r="56" spans="1:17" ht="35.15" customHeight="1" thickBot="1" x14ac:dyDescent="0.4">
      <c r="A56" s="77" t="s">
        <v>73</v>
      </c>
      <c r="B56" s="46" t="s">
        <v>44</v>
      </c>
      <c r="C56" s="47"/>
      <c r="D56" s="47"/>
      <c r="E56" s="47">
        <f>3.5</f>
        <v>3.5</v>
      </c>
      <c r="F56" s="48">
        <v>3000</v>
      </c>
      <c r="G56" s="47"/>
      <c r="H56" s="48"/>
      <c r="I56" s="47">
        <f>(C56*3)+(E56*12)</f>
        <v>42</v>
      </c>
      <c r="J56" s="47">
        <v>23.41</v>
      </c>
      <c r="K56" s="47">
        <v>11.14</v>
      </c>
      <c r="L56" s="47">
        <f t="shared" si="0"/>
        <v>133.68</v>
      </c>
      <c r="M56" s="47">
        <f>J56+L56</f>
        <v>157.09</v>
      </c>
      <c r="N56" s="47">
        <f>I56+M56</f>
        <v>199.09</v>
      </c>
      <c r="O56" s="20" t="s">
        <v>157</v>
      </c>
      <c r="P56" s="6"/>
      <c r="Q56" s="6"/>
    </row>
    <row r="57" spans="1:17" ht="5.25" customHeight="1" thickBot="1" x14ac:dyDescent="0.4">
      <c r="A57" s="110"/>
      <c r="B57" s="111"/>
      <c r="C57" s="112"/>
      <c r="D57" s="112"/>
      <c r="E57" s="112"/>
      <c r="F57" s="113"/>
      <c r="G57" s="112"/>
      <c r="H57" s="113"/>
      <c r="I57" s="112"/>
      <c r="J57" s="112"/>
      <c r="K57" s="112"/>
      <c r="L57" s="112"/>
      <c r="M57" s="112"/>
      <c r="N57" s="112"/>
      <c r="O57" s="108"/>
      <c r="P57" s="6"/>
      <c r="Q57" s="6"/>
    </row>
    <row r="58" spans="1:17" ht="53.5" customHeight="1" thickBot="1" x14ac:dyDescent="0.4">
      <c r="A58" s="77" t="s">
        <v>60</v>
      </c>
      <c r="B58" s="46" t="s">
        <v>44</v>
      </c>
      <c r="C58" s="47">
        <v>1.335</v>
      </c>
      <c r="D58" s="47"/>
      <c r="E58" s="47">
        <f>7.25</f>
        <v>7.25</v>
      </c>
      <c r="F58" s="48">
        <v>1000</v>
      </c>
      <c r="G58" s="47"/>
      <c r="H58" s="48"/>
      <c r="I58" s="47">
        <f>(C58*3)+(E58*12)</f>
        <v>91.004999999999995</v>
      </c>
      <c r="J58" s="47">
        <v>23.41</v>
      </c>
      <c r="K58" s="47">
        <v>11.14</v>
      </c>
      <c r="L58" s="47">
        <f t="shared" si="0"/>
        <v>133.68</v>
      </c>
      <c r="M58" s="47">
        <f>J58+L58</f>
        <v>157.09</v>
      </c>
      <c r="N58" s="47">
        <f>I58+M58</f>
        <v>248.095</v>
      </c>
      <c r="O58" s="27" t="s">
        <v>158</v>
      </c>
      <c r="P58" s="6"/>
      <c r="Q58" s="6"/>
    </row>
    <row r="59" spans="1:17" ht="5.25" customHeight="1" thickBot="1" x14ac:dyDescent="0.4">
      <c r="A59" s="110"/>
      <c r="B59" s="111"/>
      <c r="C59" s="112"/>
      <c r="D59" s="112"/>
      <c r="E59" s="112"/>
      <c r="F59" s="113"/>
      <c r="G59" s="112"/>
      <c r="H59" s="113"/>
      <c r="I59" s="112"/>
      <c r="J59" s="112"/>
      <c r="K59" s="112"/>
      <c r="L59" s="112"/>
      <c r="M59" s="112"/>
      <c r="N59" s="112"/>
      <c r="O59" s="115"/>
    </row>
    <row r="60" spans="1:17" ht="40.5" customHeight="1" thickBot="1" x14ac:dyDescent="0.4">
      <c r="A60" s="77" t="s">
        <v>182</v>
      </c>
      <c r="B60" s="46" t="s">
        <v>3</v>
      </c>
      <c r="C60" s="47">
        <v>13.15</v>
      </c>
      <c r="D60" s="47"/>
      <c r="E60" s="47">
        <v>3.99</v>
      </c>
      <c r="F60" s="48">
        <v>1000</v>
      </c>
      <c r="G60" s="47"/>
      <c r="H60" s="48"/>
      <c r="I60" s="47">
        <f>(C60*3)+(E60*12)</f>
        <v>87.330000000000013</v>
      </c>
      <c r="J60" s="47">
        <v>23.41</v>
      </c>
      <c r="K60" s="47">
        <v>11.14</v>
      </c>
      <c r="L60" s="47">
        <f t="shared" si="0"/>
        <v>133.68</v>
      </c>
      <c r="M60" s="47">
        <f>J60+L60</f>
        <v>157.09</v>
      </c>
      <c r="N60" s="47">
        <f>I60+M60</f>
        <v>244.42000000000002</v>
      </c>
      <c r="O60" s="27" t="s">
        <v>159</v>
      </c>
    </row>
    <row r="61" spans="1:17" x14ac:dyDescent="0.35">
      <c r="J61" s="4" t="s">
        <v>9</v>
      </c>
      <c r="L61" s="4" t="s">
        <v>9</v>
      </c>
    </row>
    <row r="62" spans="1:17" x14ac:dyDescent="0.35">
      <c r="B62" s="9" t="s">
        <v>11</v>
      </c>
      <c r="C62" s="121" t="s">
        <v>38</v>
      </c>
      <c r="D62" s="122"/>
      <c r="E62" s="122"/>
      <c r="F62" s="122"/>
      <c r="G62" s="122"/>
      <c r="H62" s="122"/>
      <c r="I62" s="122"/>
      <c r="J62" s="122"/>
      <c r="K62" s="122"/>
      <c r="L62" s="122"/>
      <c r="M62" s="122"/>
      <c r="N62" s="122"/>
    </row>
    <row r="63" spans="1:17" x14ac:dyDescent="0.35">
      <c r="C63" s="122"/>
      <c r="D63" s="122"/>
      <c r="E63" s="122"/>
      <c r="F63" s="122"/>
      <c r="G63" s="122"/>
      <c r="H63" s="122"/>
      <c r="I63" s="122"/>
      <c r="J63" s="122"/>
      <c r="K63" s="122"/>
      <c r="L63" s="122"/>
      <c r="M63" s="122"/>
      <c r="N63" s="122"/>
    </row>
    <row r="64" spans="1:17" x14ac:dyDescent="0.35">
      <c r="C64" s="70"/>
      <c r="D64" s="70"/>
      <c r="E64" s="70"/>
      <c r="F64" s="70"/>
      <c r="G64" s="70"/>
      <c r="H64" s="70"/>
      <c r="I64" s="70"/>
      <c r="J64" s="70"/>
      <c r="K64" s="70"/>
      <c r="L64" s="70"/>
      <c r="M64" s="70"/>
      <c r="N64" s="70"/>
    </row>
    <row r="65" spans="3:14" ht="30.75" customHeight="1" x14ac:dyDescent="0.35">
      <c r="C65" s="121" t="s">
        <v>39</v>
      </c>
      <c r="D65" s="122"/>
      <c r="E65" s="122"/>
      <c r="F65" s="122"/>
      <c r="G65" s="122"/>
      <c r="H65" s="122"/>
      <c r="I65" s="122"/>
      <c r="J65" s="122"/>
      <c r="K65" s="122"/>
      <c r="L65" s="122"/>
      <c r="M65" s="122"/>
      <c r="N65" s="122"/>
    </row>
    <row r="67" spans="3:14" x14ac:dyDescent="0.35">
      <c r="C67" s="123"/>
      <c r="D67" s="124"/>
      <c r="E67" s="124"/>
      <c r="F67" s="124"/>
      <c r="G67" s="124"/>
      <c r="H67" s="124"/>
      <c r="I67" s="124"/>
      <c r="J67" s="124"/>
      <c r="K67" s="124"/>
      <c r="L67" s="124"/>
      <c r="M67" s="124"/>
      <c r="N67" s="124"/>
    </row>
  </sheetData>
  <sheetProtection algorithmName="SHA-512" hashValue="B40B+wIGI2AKPHyBRBJBRNGAKBjDPJmhkOmIw+GoqMmD6u02j23Z/Iq6tuvUUmyINvS/32Vjp7wtgSV9tNoqbg==" saltValue="ruKDFPEC3+X7ne8KxfiCVA==" spinCount="100000" sheet="1"/>
  <sortState xmlns:xlrd2="http://schemas.microsoft.com/office/spreadsheetml/2017/richdata2" ref="A8:O58">
    <sortCondition ref="A8:A58"/>
  </sortState>
  <mergeCells count="4">
    <mergeCell ref="C62:N63"/>
    <mergeCell ref="C65:N65"/>
    <mergeCell ref="C67:N67"/>
    <mergeCell ref="C6:D6"/>
  </mergeCells>
  <pageMargins left="0.7" right="0.7" top="0.75" bottom="0.75" header="0.3" footer="0.3"/>
  <pageSetup paperSize="17"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ALCOSAN Eastern Basin</vt:lpstr>
      <vt:lpstr>ALCOSAN Southern Basin</vt:lpstr>
      <vt:lpstr>ALCOSAN Northern Basin</vt:lpstr>
      <vt:lpstr>'ALCOSAN Eastern Basin'!Print_Area</vt:lpstr>
      <vt:lpstr>'ALCOSAN Northern Basin'!Print_Area</vt:lpstr>
      <vt:lpstr>'ALCOSAN Southern Basin'!Print_Area</vt:lpstr>
      <vt:lpstr>'ALCOSAN Eastern Basin'!Print_Titles</vt:lpstr>
      <vt:lpstr>'ALCOSAN Northern Basin'!Print_Titles</vt:lpstr>
      <vt:lpstr>'ALCOSAN Southern Basin'!Print_Titles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jbrown</dc:creator>
  <cp:lastModifiedBy>Tracy Schubert</cp:lastModifiedBy>
  <cp:lastPrinted>2023-12-06T16:25:59Z</cp:lastPrinted>
  <dcterms:created xsi:type="dcterms:W3CDTF">2010-10-20T16:43:27Z</dcterms:created>
  <dcterms:modified xsi:type="dcterms:W3CDTF">2026-02-06T15:15:48Z</dcterms:modified>
</cp:coreProperties>
</file>